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960" windowHeight="801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C5" i="1"/>
  <c r="I5"/>
  <c r="F5"/>
  <c r="F6" s="1"/>
  <c r="I8"/>
  <c r="D22"/>
  <c r="E22"/>
  <c r="F22"/>
  <c r="G22"/>
  <c r="H22"/>
  <c r="C22"/>
  <c r="D11"/>
  <c r="E11" s="1"/>
  <c r="F11" s="1"/>
  <c r="G11" s="1"/>
  <c r="H11" s="1"/>
  <c r="I11" s="1"/>
  <c r="B12"/>
  <c r="C6"/>
  <c r="C13"/>
  <c r="C21" s="1"/>
  <c r="I12"/>
  <c r="B13" l="1"/>
  <c r="H13"/>
  <c r="H21" s="1"/>
  <c r="G13"/>
  <c r="G21" s="1"/>
  <c r="F13"/>
  <c r="F21" s="1"/>
  <c r="E13"/>
  <c r="E21" s="1"/>
  <c r="D13"/>
  <c r="D21" s="1"/>
  <c r="J12"/>
  <c r="I22"/>
  <c r="J22" s="1"/>
  <c r="I13"/>
  <c r="I21" s="1"/>
  <c r="J13"/>
  <c r="J21"/>
  <c r="F7" s="1"/>
  <c r="I7" s="1"/>
  <c r="B14"/>
  <c r="I14"/>
  <c r="H14"/>
  <c r="G14"/>
  <c r="F14"/>
  <c r="E14"/>
  <c r="D14"/>
  <c r="C14"/>
  <c r="B15"/>
  <c r="B17" s="1"/>
  <c r="I15"/>
  <c r="H15"/>
  <c r="G15"/>
  <c r="F15"/>
  <c r="E15"/>
  <c r="D15"/>
  <c r="C15"/>
  <c r="F8" l="1"/>
  <c r="C17"/>
  <c r="C16"/>
  <c r="C18" s="1"/>
  <c r="D17"/>
  <c r="D16"/>
  <c r="D18" s="1"/>
  <c r="E17"/>
  <c r="E16"/>
  <c r="E18" s="1"/>
  <c r="F17"/>
  <c r="F16"/>
  <c r="F18" s="1"/>
  <c r="G17"/>
  <c r="G16"/>
  <c r="G18" s="1"/>
  <c r="H17"/>
  <c r="H16"/>
  <c r="H18" s="1"/>
  <c r="I17"/>
  <c r="I16"/>
  <c r="I18" s="1"/>
  <c r="J15"/>
  <c r="B16"/>
  <c r="J14"/>
  <c r="C8" l="1"/>
  <c r="C24"/>
  <c r="D24"/>
  <c r="E24"/>
  <c r="F24"/>
  <c r="G24"/>
  <c r="H24"/>
  <c r="I24"/>
  <c r="B24"/>
  <c r="J16"/>
  <c r="B18"/>
  <c r="J18" s="1"/>
  <c r="J17"/>
  <c r="B20"/>
  <c r="B19"/>
  <c r="I20"/>
  <c r="I19"/>
  <c r="H20"/>
  <c r="H19"/>
  <c r="G20"/>
  <c r="G19"/>
  <c r="F20"/>
  <c r="F19"/>
  <c r="E20"/>
  <c r="E19"/>
  <c r="D20"/>
  <c r="D19"/>
  <c r="C20"/>
  <c r="C19"/>
  <c r="C25" l="1"/>
  <c r="D25"/>
  <c r="E25"/>
  <c r="F25"/>
  <c r="G25"/>
  <c r="H25"/>
  <c r="I25"/>
  <c r="B25"/>
  <c r="J19"/>
  <c r="J20"/>
  <c r="C7" l="1"/>
  <c r="I6" s="1"/>
  <c r="C23" l="1"/>
  <c r="B23"/>
  <c r="I23"/>
  <c r="H23"/>
  <c r="G23"/>
  <c r="F23"/>
  <c r="E23"/>
  <c r="D23"/>
</calcChain>
</file>

<file path=xl/sharedStrings.xml><?xml version="1.0" encoding="utf-8"?>
<sst xmlns="http://schemas.openxmlformats.org/spreadsheetml/2006/main" count="103" uniqueCount="87">
  <si>
    <t>Input</t>
  </si>
  <si>
    <t>sigci=</t>
  </si>
  <si>
    <t>Depth of failure surface or tunnel below slope =</t>
  </si>
  <si>
    <t>m</t>
  </si>
  <si>
    <t>MPa</t>
  </si>
  <si>
    <t>GSI=</t>
  </si>
  <si>
    <t>Unit Wt.</t>
  </si>
  <si>
    <r>
      <t>MN/m</t>
    </r>
    <r>
      <rPr>
        <vertAlign val="superscript"/>
        <sz val="11"/>
        <color theme="1"/>
        <rFont val="Calibri"/>
        <family val="2"/>
        <charset val="161"/>
        <scheme val="minor"/>
      </rPr>
      <t>3</t>
    </r>
  </si>
  <si>
    <t>Output</t>
  </si>
  <si>
    <t>a=</t>
  </si>
  <si>
    <t>coh=</t>
  </si>
  <si>
    <t>stress=</t>
  </si>
  <si>
    <r>
      <t>m</t>
    </r>
    <r>
      <rPr>
        <vertAlign val="subscript"/>
        <sz val="11"/>
        <color theme="1"/>
        <rFont val="Calibri"/>
        <family val="2"/>
        <charset val="161"/>
        <scheme val="minor"/>
      </rPr>
      <t>i</t>
    </r>
    <r>
      <rPr>
        <sz val="11"/>
        <color theme="1"/>
        <rFont val="Calibri"/>
        <family val="2"/>
        <charset val="161"/>
        <scheme val="minor"/>
      </rPr>
      <t>=</t>
    </r>
  </si>
  <si>
    <r>
      <t>m</t>
    </r>
    <r>
      <rPr>
        <vertAlign val="subscript"/>
        <sz val="11"/>
        <color theme="1"/>
        <rFont val="Calibri"/>
        <family val="2"/>
        <charset val="161"/>
        <scheme val="minor"/>
      </rPr>
      <t>b</t>
    </r>
    <r>
      <rPr>
        <sz val="11"/>
        <color theme="1"/>
        <rFont val="Calibri"/>
        <family val="2"/>
        <charset val="161"/>
        <scheme val="minor"/>
      </rPr>
      <t>=</t>
    </r>
  </si>
  <si>
    <t>sigtm=</t>
  </si>
  <si>
    <t>k=</t>
  </si>
  <si>
    <t>sigcm=</t>
  </si>
  <si>
    <t>s=</t>
  </si>
  <si>
    <t>A=</t>
  </si>
  <si>
    <t>phi=</t>
  </si>
  <si>
    <t>E=</t>
  </si>
  <si>
    <t>degrees</t>
  </si>
  <si>
    <t>Calculation</t>
  </si>
  <si>
    <t>sig3</t>
  </si>
  <si>
    <t>sig1</t>
  </si>
  <si>
    <t>ds1 ds3</t>
  </si>
  <si>
    <t>sign</t>
  </si>
  <si>
    <t>tau</t>
  </si>
  <si>
    <t>x</t>
  </si>
  <si>
    <t>y</t>
  </si>
  <si>
    <t>xy</t>
  </si>
  <si>
    <t>sig3sig1</t>
  </si>
  <si>
    <t>sig3sq</t>
  </si>
  <si>
    <t>taucalc</t>
  </si>
  <si>
    <t>sig1sig3fit</t>
  </si>
  <si>
    <t>signtaufit</t>
  </si>
  <si>
    <t>Cell formulae:</t>
  </si>
  <si>
    <t>if(depth&gt;30,sigci*0,25,depth*unitwt*0,25)</t>
  </si>
  <si>
    <r>
      <t>m</t>
    </r>
    <r>
      <rPr>
        <vertAlign val="subscript"/>
        <sz val="11"/>
        <color theme="1"/>
        <rFont val="Calibri"/>
        <family val="2"/>
        <charset val="161"/>
        <scheme val="minor"/>
      </rPr>
      <t>i</t>
    </r>
    <r>
      <rPr>
        <sz val="11"/>
        <color theme="1"/>
        <rFont val="Calibri"/>
        <family val="2"/>
        <charset val="161"/>
        <scheme val="minor"/>
      </rPr>
      <t>*EXP((GSI-100)/28)</t>
    </r>
  </si>
  <si>
    <t>if(GSI&gt;25,EXP((GSI-100)/9),0)</t>
  </si>
  <si>
    <t>if(GSI&gt;25;0,5;0,65-GSI/200)</t>
  </si>
  <si>
    <r>
      <t>0,5*sigci*(m</t>
    </r>
    <r>
      <rPr>
        <vertAlign val="subscript"/>
        <sz val="11"/>
        <color theme="1"/>
        <rFont val="Calibri"/>
        <family val="2"/>
        <charset val="161"/>
        <scheme val="minor"/>
      </rPr>
      <t>b</t>
    </r>
    <r>
      <rPr>
        <sz val="11"/>
        <color theme="1"/>
        <rFont val="Calibri"/>
        <family val="2"/>
        <charset val="161"/>
        <scheme val="minor"/>
      </rPr>
      <t>-SQRT(m</t>
    </r>
    <r>
      <rPr>
        <vertAlign val="subscript"/>
        <sz val="11"/>
        <color theme="1"/>
        <rFont val="Calibri"/>
        <family val="2"/>
        <charset val="161"/>
        <scheme val="minor"/>
      </rPr>
      <t>b</t>
    </r>
    <r>
      <rPr>
        <sz val="11"/>
        <color theme="1"/>
        <rFont val="Calibri"/>
        <family val="2"/>
        <charset val="161"/>
        <scheme val="minor"/>
      </rPr>
      <t>^2+4s))</t>
    </r>
  </si>
  <si>
    <t>sig1=</t>
  </si>
  <si>
    <t>sig3=</t>
  </si>
  <si>
    <t>start at 1E-10 (to avoid zero errors) and increment in 7 steps of stress /28 to stress/4</t>
  </si>
  <si>
    <t>sig3+sigci*(((mb*sig3)/sigci)+s)^a</t>
  </si>
  <si>
    <t>ds1ds3=</t>
  </si>
  <si>
    <r>
      <t>if(GSI&gt;25;(1+(m</t>
    </r>
    <r>
      <rPr>
        <vertAlign val="subscript"/>
        <sz val="11"/>
        <color theme="1"/>
        <rFont val="Calibri"/>
        <family val="2"/>
        <charset val="161"/>
        <scheme val="minor"/>
      </rPr>
      <t>b</t>
    </r>
    <r>
      <rPr>
        <sz val="11"/>
        <color theme="1"/>
        <rFont val="Calibri"/>
        <family val="2"/>
        <charset val="161"/>
        <scheme val="minor"/>
      </rPr>
      <t>*sigci)/(2*(sig1-sig3)));1+(a*m</t>
    </r>
    <r>
      <rPr>
        <vertAlign val="subscript"/>
        <sz val="11"/>
        <color theme="1"/>
        <rFont val="Calibri"/>
        <family val="2"/>
        <charset val="161"/>
        <scheme val="minor"/>
      </rPr>
      <t>b</t>
    </r>
    <r>
      <rPr>
        <sz val="11"/>
        <color theme="1"/>
        <rFont val="Calibri"/>
        <family val="2"/>
        <charset val="161"/>
        <scheme val="minor"/>
      </rPr>
      <t>^a)*(sig3/sigci)^(a-1)</t>
    </r>
  </si>
  <si>
    <t>sign=</t>
  </si>
  <si>
    <t>sig3+(sig1-sig3)/(1+ds1ds3)</t>
  </si>
  <si>
    <t>tau=</t>
  </si>
  <si>
    <t>(sign-sig3)*SQRT(ds1ds3)</t>
  </si>
  <si>
    <t xml:space="preserve">x= </t>
  </si>
  <si>
    <t>LOG((sign-sigtm)/sigci)</t>
  </si>
  <si>
    <t>y=</t>
  </si>
  <si>
    <t>LOG(tau/sigci)</t>
  </si>
  <si>
    <t>xy=</t>
  </si>
  <si>
    <t xml:space="preserve">x*y </t>
  </si>
  <si>
    <t>x sq=</t>
  </si>
  <si>
    <t>x^2</t>
  </si>
  <si>
    <t>acalc=</t>
  </si>
  <si>
    <t>10^(sumy/8-bcalc*sumx/8</t>
  </si>
  <si>
    <t>bcalc=</t>
  </si>
  <si>
    <t>B=</t>
  </si>
  <si>
    <t>(sumxy-(sumx*sumy)/8)/(sumxsq-(sumx^2)/8)</t>
  </si>
  <si>
    <t>(sumsig3sig1-(sumsig3*sumsig1)/8)/(sumsig3sq-(sumsig3^2)/8)</t>
  </si>
  <si>
    <t>ASIN((k-1)/(k+1))*180/pi()</t>
  </si>
  <si>
    <t>sigcm/(2*SQRT(k))</t>
  </si>
  <si>
    <t>sumsig1/8-k*sumsig3/8</t>
  </si>
  <si>
    <t>IF(sigci&gt;100,1000*10^((GSI-10)/40);SQRT(sigci/100)*1000*10^((GSI-10)/40))</t>
  </si>
  <si>
    <t>phit=</t>
  </si>
  <si>
    <t>(ATAN(acalc*bcalc*((signt-sigtm)/sigci)^(bcalc-1)))*180/pi()</t>
  </si>
  <si>
    <t>coht=</t>
  </si>
  <si>
    <t>acalc*sigci*((signt-sigtm)/sigci)^bcalc-signt*TAN(phit*PI()/180)</t>
  </si>
  <si>
    <t>sig3sig1=</t>
  </si>
  <si>
    <t>sig3*sig1</t>
  </si>
  <si>
    <t>sig3sq=</t>
  </si>
  <si>
    <t>sig3^2</t>
  </si>
  <si>
    <t>taucalc=</t>
  </si>
  <si>
    <t>acalc*sigci*((sign-sigtm)/sigci)^bcalc</t>
  </si>
  <si>
    <t>s3sifit=</t>
  </si>
  <si>
    <t>sigcm+k*sig3</t>
  </si>
  <si>
    <t>sntaufit=</t>
  </si>
  <si>
    <t>coh+sign*TAN(phi*PI()/180)</t>
  </si>
  <si>
    <t>Sums</t>
  </si>
  <si>
    <t xml:space="preserve">xsq </t>
  </si>
  <si>
    <r>
      <t>m</t>
    </r>
    <r>
      <rPr>
        <vertAlign val="subscript"/>
        <sz val="11"/>
        <color rgb="FFFF0000"/>
        <rFont val="Calibri"/>
        <family val="2"/>
        <charset val="161"/>
        <scheme val="minor"/>
      </rPr>
      <t>b</t>
    </r>
    <r>
      <rPr>
        <sz val="11"/>
        <color rgb="FFFF0000"/>
        <rFont val="Calibri"/>
        <family val="2"/>
        <charset val="161"/>
        <scheme val="minor"/>
      </rPr>
      <t>=</t>
    </r>
  </si>
</sst>
</file>

<file path=xl/styles.xml><?xml version="1.0" encoding="utf-8"?>
<styleSheet xmlns="http://schemas.openxmlformats.org/spreadsheetml/2006/main">
  <numFmts count="2">
    <numFmt numFmtId="165" formatCode="0.0000"/>
    <numFmt numFmtId="166" formatCode="0.000"/>
  </numFmts>
  <fonts count="12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vertAlign val="subscript"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rgb="FFC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C00000"/>
      <name val="Arial"/>
      <family val="2"/>
      <charset val="161"/>
    </font>
    <font>
      <b/>
      <sz val="11"/>
      <color rgb="FFFF0000"/>
      <name val="Calibri"/>
      <family val="2"/>
      <charset val="161"/>
      <scheme val="minor"/>
    </font>
    <font>
      <sz val="10"/>
      <color rgb="FFFF0000"/>
      <name val="Arial"/>
      <family val="2"/>
      <charset val="161"/>
    </font>
    <font>
      <sz val="10"/>
      <color theme="1"/>
      <name val="Arial"/>
      <family val="2"/>
      <charset val="161"/>
    </font>
    <font>
      <vertAlign val="subscript"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0" borderId="0" xfId="0" applyFont="1"/>
    <xf numFmtId="0" fontId="0" fillId="0" borderId="1" xfId="0" applyBorder="1"/>
    <xf numFmtId="0" fontId="4" fillId="0" borderId="0" xfId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6" fillId="0" borderId="7" xfId="0" applyFont="1" applyBorder="1" applyAlignment="1"/>
    <xf numFmtId="0" fontId="6" fillId="0" borderId="8" xfId="0" applyFont="1" applyBorder="1" applyAlignment="1"/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/>
    <xf numFmtId="0" fontId="0" fillId="0" borderId="8" xfId="0" applyBorder="1" applyAlignment="1">
      <alignment horizontal="right"/>
    </xf>
    <xf numFmtId="0" fontId="5" fillId="2" borderId="0" xfId="0" applyFont="1" applyFill="1"/>
    <xf numFmtId="0" fontId="0" fillId="0" borderId="0" xfId="0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0" xfId="0" applyBorder="1" applyAlignment="1">
      <alignment horizontal="left"/>
    </xf>
    <xf numFmtId="0" fontId="0" fillId="0" borderId="18" xfId="0" applyBorder="1"/>
    <xf numFmtId="0" fontId="0" fillId="0" borderId="2" xfId="0" applyBorder="1"/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8" fillId="2" borderId="1" xfId="0" applyFont="1" applyFill="1" applyBorder="1"/>
    <xf numFmtId="0" fontId="10" fillId="0" borderId="1" xfId="1" applyFont="1" applyFill="1" applyBorder="1"/>
    <xf numFmtId="2" fontId="10" fillId="0" borderId="1" xfId="1" applyNumberFormat="1" applyFont="1" applyFill="1" applyBorder="1"/>
    <xf numFmtId="2" fontId="1" fillId="0" borderId="1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0" xfId="0" applyFill="1" applyBorder="1"/>
    <xf numFmtId="0" fontId="7" fillId="2" borderId="13" xfId="1" applyFont="1" applyFill="1" applyBorder="1"/>
    <xf numFmtId="0" fontId="4" fillId="0" borderId="16" xfId="1" applyBorder="1"/>
    <xf numFmtId="0" fontId="7" fillId="2" borderId="16" xfId="1" applyFont="1" applyFill="1" applyBorder="1"/>
    <xf numFmtId="0" fontId="0" fillId="0" borderId="16" xfId="0" applyBorder="1"/>
    <xf numFmtId="0" fontId="9" fillId="2" borderId="11" xfId="1" applyFont="1" applyFill="1" applyBorder="1"/>
    <xf numFmtId="0" fontId="8" fillId="2" borderId="12" xfId="0" applyFont="1" applyFill="1" applyBorder="1" applyAlignment="1">
      <alignment horizontal="center"/>
    </xf>
    <xf numFmtId="2" fontId="10" fillId="0" borderId="12" xfId="1" applyNumberFormat="1" applyFont="1" applyFill="1" applyBorder="1" applyAlignment="1">
      <alignment horizontal="center"/>
    </xf>
    <xf numFmtId="2" fontId="10" fillId="0" borderId="12" xfId="1" applyNumberFormat="1" applyFont="1" applyFill="1" applyBorder="1"/>
    <xf numFmtId="0" fontId="9" fillId="2" borderId="7" xfId="1" applyFont="1" applyFill="1" applyBorder="1"/>
    <xf numFmtId="2" fontId="10" fillId="0" borderId="8" xfId="1" applyNumberFormat="1" applyFont="1" applyFill="1" applyBorder="1"/>
    <xf numFmtId="0" fontId="10" fillId="0" borderId="9" xfId="1" applyFont="1" applyFill="1" applyBorder="1"/>
    <xf numFmtId="0" fontId="0" fillId="3" borderId="8" xfId="0" applyFill="1" applyBorder="1" applyAlignment="1">
      <alignment horizontal="right"/>
    </xf>
    <xf numFmtId="0" fontId="0" fillId="3" borderId="9" xfId="0" applyFill="1" applyBorder="1"/>
    <xf numFmtId="0" fontId="0" fillId="3" borderId="7" xfId="0" applyFill="1" applyBorder="1" applyAlignment="1">
      <alignment horizontal="right"/>
    </xf>
    <xf numFmtId="0" fontId="0" fillId="3" borderId="8" xfId="0" applyFill="1" applyBorder="1"/>
    <xf numFmtId="0" fontId="0" fillId="3" borderId="1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center"/>
    </xf>
    <xf numFmtId="0" fontId="0" fillId="3" borderId="12" xfId="0" applyFill="1" applyBorder="1"/>
    <xf numFmtId="1" fontId="1" fillId="3" borderId="8" xfId="0" applyNumberFormat="1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3" borderId="8" xfId="0" applyNumberFormat="1" applyFont="1" applyFill="1" applyBorder="1" applyAlignment="1">
      <alignment horizontal="center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zoomScale="95" zoomScaleNormal="95" workbookViewId="0">
      <selection activeCell="N10" sqref="N10"/>
    </sheetView>
  </sheetViews>
  <sheetFormatPr defaultRowHeight="15"/>
  <cols>
    <col min="1" max="1" width="9.7109375" customWidth="1"/>
    <col min="2" max="2" width="9.42578125" customWidth="1"/>
    <col min="3" max="3" width="10.42578125" bestFit="1" customWidth="1"/>
    <col min="4" max="4" width="10.5703125" bestFit="1" customWidth="1"/>
    <col min="5" max="5" width="9.7109375" bestFit="1" customWidth="1"/>
    <col min="6" max="6" width="9.28515625" customWidth="1"/>
    <col min="7" max="9" width="10" bestFit="1" customWidth="1"/>
    <col min="10" max="10" width="9.7109375" bestFit="1" customWidth="1"/>
  </cols>
  <sheetData>
    <row r="1" spans="1:14" ht="15.75" thickBot="1">
      <c r="A1" s="3"/>
    </row>
    <row r="2" spans="1:14" ht="18">
      <c r="A2" s="45" t="s">
        <v>0</v>
      </c>
      <c r="B2" s="8" t="s">
        <v>1</v>
      </c>
      <c r="C2" s="32">
        <v>15</v>
      </c>
      <c r="D2" s="9" t="s">
        <v>4</v>
      </c>
      <c r="E2" s="10" t="s">
        <v>12</v>
      </c>
      <c r="F2" s="32">
        <v>7</v>
      </c>
      <c r="G2" s="11"/>
      <c r="H2" s="12" t="s">
        <v>5</v>
      </c>
      <c r="I2" s="33">
        <v>25</v>
      </c>
      <c r="J2" s="13"/>
    </row>
    <row r="3" spans="1:14" ht="18" thickBot="1">
      <c r="A3" s="46"/>
      <c r="B3" s="14" t="s">
        <v>2</v>
      </c>
      <c r="C3" s="15"/>
      <c r="D3" s="15"/>
      <c r="E3" s="15"/>
      <c r="F3" s="31">
        <v>100</v>
      </c>
      <c r="G3" s="16" t="s">
        <v>3</v>
      </c>
      <c r="H3" s="17" t="s">
        <v>6</v>
      </c>
      <c r="I3" s="31">
        <v>2.5000000000000001E-2</v>
      </c>
      <c r="J3" s="18" t="s">
        <v>7</v>
      </c>
    </row>
    <row r="4" spans="1:14" ht="15.75" thickBot="1">
      <c r="A4" s="47" t="s">
        <v>8</v>
      </c>
      <c r="B4" s="4"/>
      <c r="C4" s="4"/>
      <c r="D4" s="4"/>
      <c r="E4" s="4"/>
      <c r="F4" s="4"/>
      <c r="G4" s="4"/>
      <c r="H4" s="4"/>
      <c r="I4" s="4"/>
      <c r="J4" s="27"/>
      <c r="N4" s="1"/>
    </row>
    <row r="5" spans="1:14" ht="18">
      <c r="A5" s="48"/>
      <c r="B5" s="19" t="s">
        <v>11</v>
      </c>
      <c r="C5" s="66">
        <f>IF(F3&gt;30,C2*0.25,F3*I3)</f>
        <v>3.75</v>
      </c>
      <c r="D5" s="11" t="s">
        <v>4</v>
      </c>
      <c r="E5" s="12" t="s">
        <v>13</v>
      </c>
      <c r="F5" s="34">
        <f>F2*EXP((I2-100)/28)</f>
        <v>0.480628200591595</v>
      </c>
      <c r="G5" s="11"/>
      <c r="H5" s="12" t="s">
        <v>17</v>
      </c>
      <c r="I5" s="65">
        <f>IF(I2&gt;25,EXP((I2-100)/9),0)</f>
        <v>0</v>
      </c>
      <c r="J5" s="13"/>
    </row>
    <row r="6" spans="1:14">
      <c r="A6" s="46"/>
      <c r="B6" s="20" t="s">
        <v>9</v>
      </c>
      <c r="C6" s="67">
        <f>IF(I2&gt;25,0.5,0.65-I2/200)</f>
        <v>0.52500000000000002</v>
      </c>
      <c r="D6" s="2"/>
      <c r="E6" s="6" t="s">
        <v>14</v>
      </c>
      <c r="F6" s="35">
        <f>0.5*C2*(F5-SQRT(F5^2+4*I5))</f>
        <v>0</v>
      </c>
      <c r="G6" s="2" t="s">
        <v>4</v>
      </c>
      <c r="H6" s="6" t="s">
        <v>18</v>
      </c>
      <c r="I6" s="64">
        <f>10^(J18/8-C7*J17/8)</f>
        <v>0.398414290807105</v>
      </c>
      <c r="J6" s="21"/>
    </row>
    <row r="7" spans="1:14">
      <c r="A7" s="46"/>
      <c r="B7" s="20" t="s">
        <v>63</v>
      </c>
      <c r="C7" s="64">
        <f>(J19-(J17*J18)/8)/(J20-(J17^2)/8)</f>
        <v>0.75195685450704197</v>
      </c>
      <c r="D7" s="2"/>
      <c r="E7" s="6" t="s">
        <v>15</v>
      </c>
      <c r="F7" s="39">
        <f>(J21-(J12*J13)/8)/(J22-(J12^2)/8)</f>
        <v>2.1361126367194787</v>
      </c>
      <c r="G7" s="2"/>
      <c r="H7" s="60" t="s">
        <v>19</v>
      </c>
      <c r="I7" s="61">
        <f>ASIN((F7-1)/(F7+1))*180/PI()</f>
        <v>21.239535085063451</v>
      </c>
      <c r="J7" s="62" t="s">
        <v>21</v>
      </c>
    </row>
    <row r="8" spans="1:14" ht="15.75" thickBot="1">
      <c r="A8" s="46"/>
      <c r="B8" s="58" t="s">
        <v>10</v>
      </c>
      <c r="C8" s="68">
        <f>F8/(2*SQRT(F7))</f>
        <v>0.27566228239318386</v>
      </c>
      <c r="D8" s="59" t="s">
        <v>4</v>
      </c>
      <c r="E8" s="22" t="s">
        <v>16</v>
      </c>
      <c r="F8" s="40">
        <f>J13/8-F7*J12/8</f>
        <v>0.80578544408131791</v>
      </c>
      <c r="G8" s="17" t="s">
        <v>4</v>
      </c>
      <c r="H8" s="56" t="s">
        <v>20</v>
      </c>
      <c r="I8" s="63">
        <f>IF(C2&gt;100,1000*10^((I2-10)/40),SQRT(C2/100)*1000*10^((I2-10)/40))</f>
        <v>918.4290869661761</v>
      </c>
      <c r="J8" s="57" t="s">
        <v>4</v>
      </c>
    </row>
    <row r="9" spans="1:14">
      <c r="A9" s="46"/>
      <c r="B9" s="4"/>
      <c r="C9" s="4"/>
      <c r="D9" s="4"/>
      <c r="E9" s="4"/>
      <c r="F9" s="4"/>
      <c r="G9" s="4"/>
      <c r="H9" s="4"/>
      <c r="I9" s="4"/>
      <c r="J9" s="27"/>
    </row>
    <row r="10" spans="1:14">
      <c r="A10" s="47" t="s">
        <v>22</v>
      </c>
      <c r="B10" s="44"/>
      <c r="C10" s="4"/>
      <c r="D10" s="4"/>
      <c r="E10" s="4"/>
      <c r="F10" s="4"/>
      <c r="G10" s="4"/>
      <c r="H10" s="4"/>
      <c r="I10" s="4"/>
      <c r="J10" s="27"/>
    </row>
    <row r="11" spans="1:14">
      <c r="A11" s="49"/>
      <c r="B11" s="36">
        <v>1</v>
      </c>
      <c r="C11" s="36">
        <v>2</v>
      </c>
      <c r="D11" s="36">
        <f>C11+1</f>
        <v>3</v>
      </c>
      <c r="E11" s="36">
        <f t="shared" ref="E11:I11" si="0">D11+1</f>
        <v>4</v>
      </c>
      <c r="F11" s="36">
        <f t="shared" si="0"/>
        <v>5</v>
      </c>
      <c r="G11" s="36">
        <f t="shared" si="0"/>
        <v>6</v>
      </c>
      <c r="H11" s="36">
        <f t="shared" si="0"/>
        <v>7</v>
      </c>
      <c r="I11" s="36">
        <f t="shared" si="0"/>
        <v>8</v>
      </c>
      <c r="J11" s="50" t="s">
        <v>84</v>
      </c>
    </row>
    <row r="12" spans="1:14">
      <c r="A12" s="49" t="s">
        <v>23</v>
      </c>
      <c r="B12" s="37">
        <f>0.0000000001</f>
        <v>1E-10</v>
      </c>
      <c r="C12" s="37">
        <v>0.1</v>
      </c>
      <c r="D12" s="37">
        <v>0.19</v>
      </c>
      <c r="E12" s="37">
        <v>0.28999999999999998</v>
      </c>
      <c r="F12" s="37">
        <v>0.39</v>
      </c>
      <c r="G12" s="37">
        <v>0.48</v>
      </c>
      <c r="H12" s="37">
        <v>0.57999999999999996</v>
      </c>
      <c r="I12" s="37">
        <f>C5</f>
        <v>3.75</v>
      </c>
      <c r="J12" s="51">
        <f>SUM(B12:I12)</f>
        <v>5.7800000000999994</v>
      </c>
    </row>
    <row r="13" spans="1:14">
      <c r="A13" s="49" t="s">
        <v>24</v>
      </c>
      <c r="B13" s="38">
        <f t="shared" ref="B13:I13" si="1">B12+$C$2*((($F$5*B12)/$C$2)+$I$5)^$C$6</f>
        <v>1.3854674868731914E-5</v>
      </c>
      <c r="C13" s="38">
        <f t="shared" si="1"/>
        <v>0.83551782792433649</v>
      </c>
      <c r="D13" s="38">
        <f t="shared" si="1"/>
        <v>1.2202410357919549</v>
      </c>
      <c r="E13" s="38">
        <f t="shared" si="1"/>
        <v>1.5763292723717344</v>
      </c>
      <c r="F13" s="38">
        <f t="shared" si="1"/>
        <v>1.8928032394906107</v>
      </c>
      <c r="G13" s="38">
        <f t="shared" si="1"/>
        <v>2.155887468423813</v>
      </c>
      <c r="H13" s="38">
        <f t="shared" si="1"/>
        <v>2.4309423849665723</v>
      </c>
      <c r="I13" s="38">
        <f t="shared" si="1"/>
        <v>8.6812795094588502</v>
      </c>
      <c r="J13" s="51">
        <f t="shared" ref="J13:J21" si="2">SUM(B13:I13)</f>
        <v>18.79301459310274</v>
      </c>
    </row>
    <row r="14" spans="1:14">
      <c r="A14" s="49" t="s">
        <v>25</v>
      </c>
      <c r="B14" s="38">
        <f t="shared" ref="B14:I14" si="3">IF($I$2&gt;25,(1+($F$5*$C$2)/(2*(B13-B12))),1+($C$6*$F$5^$C$6)*(B12/$C$2)^($C$6-1))</f>
        <v>72737.518060842631</v>
      </c>
      <c r="C14" s="38">
        <f t="shared" si="3"/>
        <v>4.8614685966027675</v>
      </c>
      <c r="D14" s="38">
        <f t="shared" si="3"/>
        <v>3.8467186515304022</v>
      </c>
      <c r="E14" s="38">
        <f t="shared" si="3"/>
        <v>3.3286995448108985</v>
      </c>
      <c r="F14" s="38">
        <f t="shared" si="3"/>
        <v>3.0230043608527457</v>
      </c>
      <c r="G14" s="38">
        <f t="shared" si="3"/>
        <v>2.8330019185885451</v>
      </c>
      <c r="H14" s="38">
        <f t="shared" si="3"/>
        <v>2.6754219863921564</v>
      </c>
      <c r="I14" s="38">
        <f t="shared" si="3"/>
        <v>1.6903791313242391</v>
      </c>
      <c r="J14" s="51">
        <f t="shared" si="2"/>
        <v>72759.776755032726</v>
      </c>
    </row>
    <row r="15" spans="1:14">
      <c r="A15" s="49" t="s">
        <v>26</v>
      </c>
      <c r="B15" s="38">
        <f>B12+(B13-B12)/(1+B14)</f>
        <v>2.9047095319075871E-10</v>
      </c>
      <c r="C15" s="38">
        <f t="shared" ref="C15:I15" si="4">C12+(C13-C12)/(1+C14)</f>
        <v>0.22548353979933175</v>
      </c>
      <c r="D15" s="38">
        <f t="shared" si="4"/>
        <v>0.40256464628221106</v>
      </c>
      <c r="E15" s="38">
        <f t="shared" si="4"/>
        <v>0.58716298372192244</v>
      </c>
      <c r="F15" s="38">
        <f t="shared" si="4"/>
        <v>0.76355247588448183</v>
      </c>
      <c r="G15" s="38">
        <f t="shared" si="4"/>
        <v>0.91722583604678642</v>
      </c>
      <c r="H15" s="38">
        <f t="shared" si="4"/>
        <v>1.0835999653426143</v>
      </c>
      <c r="I15" s="38">
        <f t="shared" si="4"/>
        <v>5.5829310735589939</v>
      </c>
      <c r="J15" s="51">
        <f t="shared" si="2"/>
        <v>9.5625205209268138</v>
      </c>
    </row>
    <row r="16" spans="1:14">
      <c r="A16" s="49" t="s">
        <v>27</v>
      </c>
      <c r="B16" s="38">
        <f>(B15-B12)*SQRT(B14)</f>
        <v>5.1369814114089299E-8</v>
      </c>
      <c r="C16" s="38">
        <f t="shared" ref="C16:I16" si="5">(C15-C12)*SQRT(C14)</f>
        <v>0.27667537272567472</v>
      </c>
      <c r="D16" s="38">
        <f t="shared" si="5"/>
        <v>0.41690417665148682</v>
      </c>
      <c r="E16" s="38">
        <f t="shared" si="5"/>
        <v>0.5421656626275021</v>
      </c>
      <c r="F16" s="38">
        <f t="shared" si="5"/>
        <v>0.64948781254116772</v>
      </c>
      <c r="G16" s="38">
        <f t="shared" si="5"/>
        <v>0.73591770449903071</v>
      </c>
      <c r="H16" s="38">
        <f t="shared" si="5"/>
        <v>0.82372422316407545</v>
      </c>
      <c r="I16" s="38">
        <f t="shared" si="5"/>
        <v>2.3830776581709952</v>
      </c>
      <c r="J16" s="51">
        <f t="shared" si="2"/>
        <v>5.8279526617497472</v>
      </c>
    </row>
    <row r="17" spans="1:10">
      <c r="A17" s="49" t="s">
        <v>28</v>
      </c>
      <c r="B17" s="38">
        <f t="shared" ref="B17:I17" si="6">LOG((B15-$F$6)/$C$2)</f>
        <v>-10.712988549178512</v>
      </c>
      <c r="C17" s="38">
        <f t="shared" si="6"/>
        <v>-1.8229764149935259</v>
      </c>
      <c r="D17" s="38">
        <f t="shared" si="6"/>
        <v>-1.5712556270989992</v>
      </c>
      <c r="E17" s="38">
        <f t="shared" si="6"/>
        <v>-1.4073325903357365</v>
      </c>
      <c r="F17" s="38">
        <f t="shared" si="6"/>
        <v>-1.2932523693280564</v>
      </c>
      <c r="G17" s="38">
        <f t="shared" si="6"/>
        <v>-1.2136149797939799</v>
      </c>
      <c r="H17" s="38">
        <f t="shared" si="6"/>
        <v>-1.1412222765848345</v>
      </c>
      <c r="I17" s="38">
        <f t="shared" si="6"/>
        <v>-0.42922899293868705</v>
      </c>
      <c r="J17" s="51">
        <f t="shared" si="2"/>
        <v>-19.591871800252331</v>
      </c>
    </row>
    <row r="18" spans="1:10">
      <c r="A18" s="49" t="s">
        <v>29</v>
      </c>
      <c r="B18" s="38">
        <f t="shared" ref="B18:I18" si="7">LOG(B16/$C$2)</f>
        <v>-8.4653832648589162</v>
      </c>
      <c r="C18" s="38">
        <f t="shared" si="7"/>
        <v>-1.7341207553731324</v>
      </c>
      <c r="D18" s="38">
        <f t="shared" si="7"/>
        <v>-1.5560550130356263</v>
      </c>
      <c r="E18" s="38">
        <f t="shared" si="7"/>
        <v>-1.4419592504287395</v>
      </c>
      <c r="F18" s="38">
        <f t="shared" si="7"/>
        <v>-1.3635202529857866</v>
      </c>
      <c r="G18" s="38">
        <f t="shared" si="7"/>
        <v>-1.3092620078707071</v>
      </c>
      <c r="H18" s="38">
        <f t="shared" si="7"/>
        <v>-1.2603094216360244</v>
      </c>
      <c r="I18" s="38">
        <f t="shared" si="7"/>
        <v>-0.79895306397502319</v>
      </c>
      <c r="J18" s="51">
        <f t="shared" si="2"/>
        <v>-17.929563030163955</v>
      </c>
    </row>
    <row r="19" spans="1:10">
      <c r="A19" s="49" t="s">
        <v>30</v>
      </c>
      <c r="B19" s="38">
        <f>B17*B18</f>
        <v>90.689553980840969</v>
      </c>
      <c r="C19" s="38">
        <f t="shared" ref="C19:I19" si="8">C17*C18</f>
        <v>3.1612612377959781</v>
      </c>
      <c r="D19" s="38">
        <f t="shared" si="8"/>
        <v>2.4449601953078344</v>
      </c>
      <c r="E19" s="38">
        <f t="shared" si="8"/>
        <v>2.0293162470644548</v>
      </c>
      <c r="F19" s="38">
        <f t="shared" si="8"/>
        <v>1.7633757978006595</v>
      </c>
      <c r="G19" s="38">
        <f t="shared" si="8"/>
        <v>1.5889399852270338</v>
      </c>
      <c r="H19" s="38">
        <f t="shared" si="8"/>
        <v>1.43829318736078</v>
      </c>
      <c r="I19" s="38">
        <f t="shared" si="8"/>
        <v>0.34293381905527759</v>
      </c>
      <c r="J19" s="51">
        <f t="shared" si="2"/>
        <v>103.45863445045299</v>
      </c>
    </row>
    <row r="20" spans="1:10" ht="15" customHeight="1">
      <c r="A20" s="49" t="s">
        <v>85</v>
      </c>
      <c r="B20" s="38">
        <f>B17^2</f>
        <v>114.76812365482991</v>
      </c>
      <c r="C20" s="38">
        <f t="shared" ref="C20:I20" si="9">C17^2</f>
        <v>3.3232430096226482</v>
      </c>
      <c r="D20" s="38">
        <f t="shared" si="9"/>
        <v>2.4688442456902693</v>
      </c>
      <c r="E20" s="38">
        <f t="shared" si="9"/>
        <v>1.9805850198210941</v>
      </c>
      <c r="F20" s="38">
        <f t="shared" si="9"/>
        <v>1.6725016907726318</v>
      </c>
      <c r="G20" s="38">
        <f t="shared" si="9"/>
        <v>1.4728613191803424</v>
      </c>
      <c r="H20" s="38">
        <f t="shared" si="9"/>
        <v>1.3023882845734727</v>
      </c>
      <c r="I20" s="38">
        <f t="shared" si="9"/>
        <v>0.18423752837915947</v>
      </c>
      <c r="J20" s="51">
        <f t="shared" si="2"/>
        <v>127.1727847528695</v>
      </c>
    </row>
    <row r="21" spans="1:10">
      <c r="A21" s="49" t="s">
        <v>31</v>
      </c>
      <c r="B21" s="37">
        <v>0</v>
      </c>
      <c r="C21" s="38">
        <f>C12*C13</f>
        <v>8.3551782792433651E-2</v>
      </c>
      <c r="D21" s="38">
        <f t="shared" ref="D21:I21" si="10">D12*D13</f>
        <v>0.23184579680047143</v>
      </c>
      <c r="E21" s="38">
        <f t="shared" si="10"/>
        <v>0.45713548898780293</v>
      </c>
      <c r="F21" s="38">
        <f t="shared" si="10"/>
        <v>0.73819326340133817</v>
      </c>
      <c r="G21" s="38">
        <f t="shared" si="10"/>
        <v>1.0348259848434302</v>
      </c>
      <c r="H21" s="38">
        <f t="shared" si="10"/>
        <v>1.409946583280612</v>
      </c>
      <c r="I21" s="38">
        <f t="shared" si="10"/>
        <v>32.554798160470689</v>
      </c>
      <c r="J21" s="51">
        <f t="shared" si="2"/>
        <v>36.510297060576775</v>
      </c>
    </row>
    <row r="22" spans="1:10">
      <c r="A22" s="49" t="s">
        <v>32</v>
      </c>
      <c r="B22" s="37">
        <v>0</v>
      </c>
      <c r="C22" s="38">
        <f>C12^2</f>
        <v>1.0000000000000002E-2</v>
      </c>
      <c r="D22" s="38">
        <f t="shared" ref="D22:I22" si="11">D12^2</f>
        <v>3.61E-2</v>
      </c>
      <c r="E22" s="38">
        <f t="shared" si="11"/>
        <v>8.4099999999999994E-2</v>
      </c>
      <c r="F22" s="38">
        <f t="shared" si="11"/>
        <v>0.15210000000000001</v>
      </c>
      <c r="G22" s="38">
        <f t="shared" si="11"/>
        <v>0.23039999999999999</v>
      </c>
      <c r="H22" s="38">
        <f t="shared" si="11"/>
        <v>0.33639999999999998</v>
      </c>
      <c r="I22" s="38">
        <f t="shared" si="11"/>
        <v>14.0625</v>
      </c>
      <c r="J22" s="51">
        <f>SUM(B22:I22)</f>
        <v>14.9116</v>
      </c>
    </row>
    <row r="23" spans="1:10">
      <c r="A23" s="49" t="s">
        <v>33</v>
      </c>
      <c r="B23" s="38">
        <f t="shared" ref="B23:I23" si="12">$I$6*$C$2*((B15-$F$6)/$C$2)^$C$7</f>
        <v>5.256794442895154E-8</v>
      </c>
      <c r="C23" s="38">
        <f t="shared" si="12"/>
        <v>0.2544641208879827</v>
      </c>
      <c r="D23" s="38">
        <f t="shared" si="12"/>
        <v>0.39346828096376707</v>
      </c>
      <c r="E23" s="38">
        <f t="shared" si="12"/>
        <v>0.52260405960037248</v>
      </c>
      <c r="F23" s="38">
        <f t="shared" si="12"/>
        <v>0.63673127657986572</v>
      </c>
      <c r="G23" s="38">
        <f t="shared" si="12"/>
        <v>0.73086987937532522</v>
      </c>
      <c r="H23" s="38">
        <f t="shared" si="12"/>
        <v>0.82846898292179805</v>
      </c>
      <c r="I23" s="38">
        <f t="shared" si="12"/>
        <v>2.8422644525612548</v>
      </c>
      <c r="J23" s="52"/>
    </row>
    <row r="24" spans="1:10">
      <c r="A24" s="49" t="s">
        <v>34</v>
      </c>
      <c r="B24" s="38">
        <f t="shared" ref="B24:I24" si="13">$F$8+$F$7*B12</f>
        <v>0.80578544429492915</v>
      </c>
      <c r="C24" s="38">
        <f t="shared" si="13"/>
        <v>1.0193967077532657</v>
      </c>
      <c r="D24" s="38">
        <f t="shared" si="13"/>
        <v>1.2116468450580189</v>
      </c>
      <c r="E24" s="38">
        <f t="shared" si="13"/>
        <v>1.4252581087299667</v>
      </c>
      <c r="F24" s="38">
        <f t="shared" si="13"/>
        <v>1.6388693724019148</v>
      </c>
      <c r="G24" s="38">
        <f t="shared" si="13"/>
        <v>1.8311195097066677</v>
      </c>
      <c r="H24" s="38">
        <f t="shared" si="13"/>
        <v>2.0447307733786158</v>
      </c>
      <c r="I24" s="38">
        <f t="shared" si="13"/>
        <v>8.8162078317793622</v>
      </c>
      <c r="J24" s="52"/>
    </row>
    <row r="25" spans="1:10" ht="15.75" thickBot="1">
      <c r="A25" s="53" t="s">
        <v>35</v>
      </c>
      <c r="B25" s="54">
        <f t="shared" ref="B25:I25" si="14">$C$8+B15*TAN($I$7*PI()/180)</f>
        <v>0.27566228250608077</v>
      </c>
      <c r="C25" s="54">
        <f t="shared" si="14"/>
        <v>0.36330062671847674</v>
      </c>
      <c r="D25" s="54">
        <f t="shared" si="14"/>
        <v>0.43212647093425227</v>
      </c>
      <c r="E25" s="54">
        <f t="shared" si="14"/>
        <v>0.50387402586804253</v>
      </c>
      <c r="F25" s="54">
        <f t="shared" si="14"/>
        <v>0.57243106139827749</v>
      </c>
      <c r="G25" s="54">
        <f t="shared" si="14"/>
        <v>0.63215905246811033</v>
      </c>
      <c r="H25" s="54">
        <f t="shared" si="14"/>
        <v>0.69682343215198728</v>
      </c>
      <c r="I25" s="54">
        <f t="shared" si="14"/>
        <v>2.4455716079447165</v>
      </c>
      <c r="J25" s="55"/>
    </row>
    <row r="28" spans="1:10" ht="15.75" thickBot="1">
      <c r="A28" s="23" t="s">
        <v>36</v>
      </c>
      <c r="B28" s="7"/>
    </row>
    <row r="29" spans="1:10">
      <c r="A29" s="41" t="s">
        <v>11</v>
      </c>
      <c r="B29" s="25" t="s">
        <v>37</v>
      </c>
      <c r="C29" s="25"/>
      <c r="D29" s="25"/>
      <c r="E29" s="25"/>
      <c r="F29" s="25"/>
      <c r="G29" s="25"/>
      <c r="H29" s="25"/>
      <c r="I29" s="26"/>
    </row>
    <row r="30" spans="1:10" ht="18">
      <c r="A30" s="42" t="s">
        <v>86</v>
      </c>
      <c r="B30" s="4" t="s">
        <v>38</v>
      </c>
      <c r="C30" s="4"/>
      <c r="D30" s="4"/>
      <c r="E30" s="4"/>
      <c r="F30" s="4"/>
      <c r="G30" s="4"/>
      <c r="H30" s="4"/>
      <c r="I30" s="27"/>
    </row>
    <row r="31" spans="1:10">
      <c r="A31" s="42" t="s">
        <v>17</v>
      </c>
      <c r="B31" s="4" t="s">
        <v>39</v>
      </c>
      <c r="C31" s="4"/>
      <c r="D31" s="4"/>
      <c r="E31" s="4"/>
      <c r="F31" s="4"/>
      <c r="G31" s="4"/>
      <c r="H31" s="4"/>
      <c r="I31" s="27"/>
    </row>
    <row r="32" spans="1:10">
      <c r="A32" s="42" t="s">
        <v>9</v>
      </c>
      <c r="B32" s="4" t="s">
        <v>40</v>
      </c>
      <c r="C32" s="4"/>
      <c r="D32" s="4"/>
      <c r="E32" s="4"/>
      <c r="F32" s="4"/>
      <c r="G32" s="4"/>
      <c r="H32" s="4"/>
      <c r="I32" s="27"/>
    </row>
    <row r="33" spans="1:9" ht="18">
      <c r="A33" s="42" t="s">
        <v>14</v>
      </c>
      <c r="B33" s="4" t="s">
        <v>41</v>
      </c>
      <c r="C33" s="4"/>
      <c r="D33" s="4"/>
      <c r="E33" s="4"/>
      <c r="F33" s="4"/>
      <c r="G33" s="4"/>
      <c r="H33" s="4"/>
      <c r="I33" s="27"/>
    </row>
    <row r="34" spans="1:9">
      <c r="A34" s="42" t="s">
        <v>43</v>
      </c>
      <c r="B34" s="4" t="s">
        <v>44</v>
      </c>
      <c r="C34" s="4"/>
      <c r="D34" s="4"/>
      <c r="E34" s="4"/>
      <c r="F34" s="4"/>
      <c r="G34" s="4"/>
      <c r="H34" s="4"/>
      <c r="I34" s="27"/>
    </row>
    <row r="35" spans="1:9">
      <c r="A35" s="42" t="s">
        <v>42</v>
      </c>
      <c r="B35" s="4" t="s">
        <v>45</v>
      </c>
      <c r="C35" s="4"/>
      <c r="D35" s="4"/>
      <c r="E35" s="4"/>
      <c r="F35" s="4"/>
      <c r="G35" s="4"/>
      <c r="H35" s="4"/>
      <c r="I35" s="27"/>
    </row>
    <row r="36" spans="1:9" ht="18">
      <c r="A36" s="42" t="s">
        <v>46</v>
      </c>
      <c r="B36" s="4" t="s">
        <v>47</v>
      </c>
      <c r="C36" s="4"/>
      <c r="D36" s="4"/>
      <c r="E36" s="4"/>
      <c r="F36" s="4"/>
      <c r="G36" s="4"/>
      <c r="H36" s="4"/>
      <c r="I36" s="27"/>
    </row>
    <row r="37" spans="1:9">
      <c r="A37" s="42" t="s">
        <v>48</v>
      </c>
      <c r="B37" s="4" t="s">
        <v>49</v>
      </c>
      <c r="C37" s="4"/>
      <c r="D37" s="4"/>
      <c r="E37" s="4"/>
      <c r="F37" s="4"/>
      <c r="G37" s="4"/>
      <c r="H37" s="4"/>
      <c r="I37" s="27"/>
    </row>
    <row r="38" spans="1:9">
      <c r="A38" s="42" t="s">
        <v>50</v>
      </c>
      <c r="B38" s="4" t="s">
        <v>51</v>
      </c>
      <c r="C38" s="4"/>
      <c r="D38" s="4"/>
      <c r="E38" s="4"/>
      <c r="F38" s="4"/>
      <c r="G38" s="4"/>
      <c r="H38" s="4"/>
      <c r="I38" s="27"/>
    </row>
    <row r="39" spans="1:9">
      <c r="A39" s="42" t="s">
        <v>52</v>
      </c>
      <c r="B39" s="4" t="s">
        <v>53</v>
      </c>
      <c r="C39" s="4"/>
      <c r="D39" s="4"/>
      <c r="E39" s="4"/>
      <c r="F39" s="4"/>
      <c r="G39" s="4"/>
      <c r="H39" s="4"/>
      <c r="I39" s="27"/>
    </row>
    <row r="40" spans="1:9">
      <c r="A40" s="42" t="s">
        <v>54</v>
      </c>
      <c r="B40" s="4" t="s">
        <v>55</v>
      </c>
      <c r="C40" s="4"/>
      <c r="D40" s="4"/>
      <c r="E40" s="4"/>
      <c r="F40" s="4"/>
      <c r="G40" s="4"/>
      <c r="H40" s="4"/>
      <c r="I40" s="27"/>
    </row>
    <row r="41" spans="1:9">
      <c r="A41" s="42" t="s">
        <v>56</v>
      </c>
      <c r="B41" s="4" t="s">
        <v>57</v>
      </c>
      <c r="C41" s="24" t="s">
        <v>58</v>
      </c>
      <c r="D41" s="4" t="s">
        <v>59</v>
      </c>
      <c r="E41" s="4"/>
      <c r="F41" s="4"/>
      <c r="G41" s="4"/>
      <c r="H41" s="4"/>
      <c r="I41" s="27"/>
    </row>
    <row r="42" spans="1:9">
      <c r="A42" s="42" t="s">
        <v>18</v>
      </c>
      <c r="B42" s="5" t="s">
        <v>60</v>
      </c>
      <c r="C42" s="4" t="s">
        <v>61</v>
      </c>
      <c r="D42" s="4"/>
      <c r="E42" s="4"/>
      <c r="F42" s="4"/>
      <c r="G42" s="4"/>
      <c r="H42" s="4"/>
      <c r="I42" s="27"/>
    </row>
    <row r="43" spans="1:9">
      <c r="A43" s="42" t="s">
        <v>63</v>
      </c>
      <c r="B43" s="5" t="s">
        <v>62</v>
      </c>
      <c r="C43" s="4" t="s">
        <v>64</v>
      </c>
      <c r="D43" s="4"/>
      <c r="E43" s="4"/>
      <c r="F43" s="4"/>
      <c r="G43" s="4"/>
      <c r="H43" s="4"/>
      <c r="I43" s="27"/>
    </row>
    <row r="44" spans="1:9">
      <c r="A44" s="42" t="s">
        <v>15</v>
      </c>
      <c r="B44" s="4" t="s">
        <v>65</v>
      </c>
      <c r="C44" s="4"/>
      <c r="D44" s="4"/>
      <c r="E44" s="4"/>
      <c r="F44" s="4"/>
      <c r="G44" s="4"/>
      <c r="H44" s="4"/>
      <c r="I44" s="27"/>
    </row>
    <row r="45" spans="1:9">
      <c r="A45" s="42" t="s">
        <v>19</v>
      </c>
      <c r="B45" s="4" t="s">
        <v>66</v>
      </c>
      <c r="C45" s="4"/>
      <c r="D45" s="4"/>
      <c r="E45" s="4"/>
      <c r="F45" s="4"/>
      <c r="G45" s="4"/>
      <c r="H45" s="4"/>
      <c r="I45" s="27"/>
    </row>
    <row r="46" spans="1:9">
      <c r="A46" s="42" t="s">
        <v>10</v>
      </c>
      <c r="B46" s="4" t="s">
        <v>67</v>
      </c>
      <c r="C46" s="4"/>
      <c r="D46" s="4"/>
      <c r="E46" s="4"/>
      <c r="F46" s="4"/>
      <c r="G46" s="4"/>
      <c r="H46" s="4"/>
      <c r="I46" s="27"/>
    </row>
    <row r="47" spans="1:9">
      <c r="A47" s="42" t="s">
        <v>16</v>
      </c>
      <c r="B47" s="4" t="s">
        <v>68</v>
      </c>
      <c r="C47" s="4"/>
      <c r="D47" s="4"/>
      <c r="E47" s="4"/>
      <c r="F47" s="4"/>
      <c r="G47" s="4"/>
      <c r="H47" s="4"/>
      <c r="I47" s="27"/>
    </row>
    <row r="48" spans="1:9">
      <c r="A48" s="42" t="s">
        <v>20</v>
      </c>
      <c r="B48" s="4" t="s">
        <v>69</v>
      </c>
      <c r="C48" s="4"/>
      <c r="D48" s="4"/>
      <c r="E48" s="4"/>
      <c r="F48" s="4"/>
      <c r="G48" s="4"/>
      <c r="H48" s="4"/>
      <c r="I48" s="27"/>
    </row>
    <row r="49" spans="1:9">
      <c r="A49" s="42" t="s">
        <v>70</v>
      </c>
      <c r="B49" s="4" t="s">
        <v>71</v>
      </c>
      <c r="C49" s="4"/>
      <c r="D49" s="4"/>
      <c r="E49" s="4"/>
      <c r="F49" s="4"/>
      <c r="G49" s="4"/>
      <c r="H49" s="4"/>
      <c r="I49" s="27"/>
    </row>
    <row r="50" spans="1:9">
      <c r="A50" s="42" t="s">
        <v>72</v>
      </c>
      <c r="B50" s="4" t="s">
        <v>73</v>
      </c>
      <c r="C50" s="4"/>
      <c r="D50" s="4"/>
      <c r="E50" s="4"/>
      <c r="F50" s="4"/>
      <c r="G50" s="4"/>
      <c r="H50" s="4"/>
      <c r="I50" s="27"/>
    </row>
    <row r="51" spans="1:9">
      <c r="A51" s="42" t="s">
        <v>74</v>
      </c>
      <c r="B51" s="28" t="s">
        <v>75</v>
      </c>
      <c r="C51" s="24" t="s">
        <v>76</v>
      </c>
      <c r="D51" s="4" t="s">
        <v>77</v>
      </c>
      <c r="E51" s="4"/>
      <c r="F51" s="4"/>
      <c r="G51" s="4"/>
      <c r="H51" s="4"/>
      <c r="I51" s="27"/>
    </row>
    <row r="52" spans="1:9">
      <c r="A52" s="42" t="s">
        <v>78</v>
      </c>
      <c r="B52" s="4" t="s">
        <v>79</v>
      </c>
      <c r="C52" s="4"/>
      <c r="D52" s="4"/>
      <c r="E52" s="4"/>
      <c r="F52" s="4"/>
      <c r="G52" s="4"/>
      <c r="H52" s="4"/>
      <c r="I52" s="27"/>
    </row>
    <row r="53" spans="1:9">
      <c r="A53" s="42" t="s">
        <v>80</v>
      </c>
      <c r="B53" s="4" t="s">
        <v>81</v>
      </c>
      <c r="C53" s="4"/>
      <c r="D53" s="4"/>
      <c r="E53" s="4"/>
      <c r="F53" s="4"/>
      <c r="G53" s="4"/>
      <c r="H53" s="4"/>
      <c r="I53" s="27"/>
    </row>
    <row r="54" spans="1:9" ht="15.75" thickBot="1">
      <c r="A54" s="43" t="s">
        <v>82</v>
      </c>
      <c r="B54" s="29" t="s">
        <v>83</v>
      </c>
      <c r="C54" s="29"/>
      <c r="D54" s="29"/>
      <c r="E54" s="29"/>
      <c r="F54" s="29"/>
      <c r="G54" s="29"/>
      <c r="H54" s="29"/>
      <c r="I54" s="30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2009-11-01T14:02:36Z</dcterms:created>
  <dcterms:modified xsi:type="dcterms:W3CDTF">2010-02-08T20:54:00Z</dcterms:modified>
</cp:coreProperties>
</file>