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500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F197" i="1"/>
  <c r="I283"/>
  <c r="I282"/>
  <c r="J282" s="1"/>
  <c r="I281"/>
  <c r="H283"/>
  <c r="H282"/>
  <c r="H281"/>
  <c r="G283"/>
  <c r="G282"/>
  <c r="G281"/>
  <c r="F283"/>
  <c r="F282"/>
  <c r="F281"/>
  <c r="D281"/>
  <c r="D282"/>
  <c r="D283"/>
  <c r="F276"/>
  <c r="D276"/>
  <c r="D275"/>
  <c r="K272"/>
  <c r="K271"/>
  <c r="K270"/>
  <c r="J272"/>
  <c r="J271"/>
  <c r="J270"/>
  <c r="G272"/>
  <c r="G271"/>
  <c r="G270"/>
  <c r="F266"/>
  <c r="D272"/>
  <c r="D271"/>
  <c r="D270"/>
  <c r="G260"/>
  <c r="H260"/>
  <c r="G257"/>
  <c r="G256"/>
  <c r="G255"/>
  <c r="D256"/>
  <c r="D255"/>
  <c r="C257"/>
  <c r="D257" s="1"/>
  <c r="C256"/>
  <c r="C255"/>
  <c r="B242"/>
  <c r="C239"/>
  <c r="C238"/>
  <c r="C237"/>
  <c r="F222"/>
  <c r="H222" s="1"/>
  <c r="C222"/>
  <c r="F221"/>
  <c r="H221" s="1"/>
  <c r="C221"/>
  <c r="D221" s="1"/>
  <c r="F220"/>
  <c r="H220" s="1"/>
  <c r="C220"/>
  <c r="D220" s="1"/>
  <c r="F219"/>
  <c r="H219" s="1"/>
  <c r="C219"/>
  <c r="D219" s="1"/>
  <c r="F218"/>
  <c r="H218" s="1"/>
  <c r="H223" s="1"/>
  <c r="C218"/>
  <c r="D218" s="1"/>
  <c r="F201"/>
  <c r="H201" s="1"/>
  <c r="F200"/>
  <c r="H200" s="1"/>
  <c r="F199"/>
  <c r="H199" s="1"/>
  <c r="F198"/>
  <c r="H198" s="1"/>
  <c r="H197"/>
  <c r="C201"/>
  <c r="C200"/>
  <c r="C199"/>
  <c r="C198"/>
  <c r="C197"/>
  <c r="D152"/>
  <c r="F152" s="1"/>
  <c r="D151"/>
  <c r="F151" s="1"/>
  <c r="D150"/>
  <c r="F150" s="1"/>
  <c r="D149"/>
  <c r="F149" s="1"/>
  <c r="D148"/>
  <c r="F148" s="1"/>
  <c r="D147"/>
  <c r="F147" s="1"/>
  <c r="D146"/>
  <c r="F146" s="1"/>
  <c r="D145"/>
  <c r="F145" s="1"/>
  <c r="D144"/>
  <c r="F144" s="1"/>
  <c r="D143"/>
  <c r="F143" s="1"/>
  <c r="D142"/>
  <c r="F142" s="1"/>
  <c r="D141"/>
  <c r="F141" s="1"/>
  <c r="D140"/>
  <c r="F140" s="1"/>
  <c r="D139"/>
  <c r="F139" s="1"/>
  <c r="D138"/>
  <c r="F138" s="1"/>
  <c r="D137"/>
  <c r="F137" s="1"/>
  <c r="D136"/>
  <c r="F136" s="1"/>
  <c r="D135"/>
  <c r="F135" s="1"/>
  <c r="D134"/>
  <c r="F134" s="1"/>
  <c r="D133"/>
  <c r="F133" s="1"/>
  <c r="D132"/>
  <c r="F132" s="1"/>
  <c r="D131"/>
  <c r="F131" s="1"/>
  <c r="D130"/>
  <c r="F130" s="1"/>
  <c r="D129"/>
  <c r="F129" s="1"/>
  <c r="D128"/>
  <c r="F128" s="1"/>
  <c r="D127"/>
  <c r="F127" s="1"/>
  <c r="D126"/>
  <c r="F126" s="1"/>
  <c r="D125"/>
  <c r="F125" s="1"/>
  <c r="D124"/>
  <c r="F124" s="1"/>
  <c r="D123"/>
  <c r="F123" s="1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K124" s="1"/>
  <c r="C123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C76"/>
  <c r="E76" s="1"/>
  <c r="C75"/>
  <c r="E75" s="1"/>
  <c r="C74"/>
  <c r="E74" s="1"/>
  <c r="C73"/>
  <c r="E73" s="1"/>
  <c r="C72"/>
  <c r="E72" s="1"/>
  <c r="C71"/>
  <c r="E71" s="1"/>
  <c r="C70"/>
  <c r="E70" s="1"/>
  <c r="C69"/>
  <c r="E69" s="1"/>
  <c r="C68"/>
  <c r="E68" s="1"/>
  <c r="C67"/>
  <c r="E67" s="1"/>
  <c r="C66"/>
  <c r="E66" s="1"/>
  <c r="C65"/>
  <c r="E65" s="1"/>
  <c r="C64"/>
  <c r="E64" s="1"/>
  <c r="C63"/>
  <c r="E63" s="1"/>
  <c r="C62"/>
  <c r="E62" s="1"/>
  <c r="C61"/>
  <c r="E61" s="1"/>
  <c r="C60"/>
  <c r="E60" s="1"/>
  <c r="C59"/>
  <c r="E59" s="1"/>
  <c r="C58"/>
  <c r="E58" s="1"/>
  <c r="C57"/>
  <c r="E57" s="1"/>
  <c r="C56"/>
  <c r="E56" s="1"/>
  <c r="C55"/>
  <c r="E55" s="1"/>
  <c r="C54"/>
  <c r="E54" s="1"/>
  <c r="C53"/>
  <c r="E53" s="1"/>
  <c r="C52"/>
  <c r="E52" s="1"/>
  <c r="C51"/>
  <c r="E51" s="1"/>
  <c r="C50"/>
  <c r="E50" s="1"/>
  <c r="C49"/>
  <c r="E49" s="1"/>
  <c r="C48"/>
  <c r="E48" s="1"/>
  <c r="C47"/>
  <c r="E47" s="1"/>
  <c r="J283" l="1"/>
  <c r="K283"/>
  <c r="J281"/>
  <c r="K281"/>
  <c r="K282"/>
  <c r="K123"/>
  <c r="H257" s="1"/>
  <c r="I257" s="1"/>
  <c r="G135"/>
  <c r="H135" s="1"/>
  <c r="H202"/>
  <c r="G133"/>
  <c r="H133" s="1"/>
  <c r="G124"/>
  <c r="H124" s="1"/>
  <c r="G140"/>
  <c r="H140" s="1"/>
  <c r="G151"/>
  <c r="H151" s="1"/>
  <c r="G126"/>
  <c r="H126" s="1"/>
  <c r="G142"/>
  <c r="H142" s="1"/>
  <c r="G145"/>
  <c r="H145" s="1"/>
  <c r="H18"/>
  <c r="G18"/>
  <c r="H17"/>
  <c r="G17"/>
  <c r="H16"/>
  <c r="G16"/>
  <c r="H15"/>
  <c r="G15"/>
  <c r="H13"/>
  <c r="D250" s="1"/>
  <c r="G13"/>
  <c r="H12"/>
  <c r="G12"/>
  <c r="C193" l="1"/>
  <c r="D266"/>
  <c r="C211"/>
  <c r="D249"/>
  <c r="G150"/>
  <c r="H150" s="1"/>
  <c r="G134"/>
  <c r="H134" s="1"/>
  <c r="G143"/>
  <c r="H143" s="1"/>
  <c r="G148"/>
  <c r="H148" s="1"/>
  <c r="G132"/>
  <c r="H132" s="1"/>
  <c r="G141"/>
  <c r="H141" s="1"/>
  <c r="G125"/>
  <c r="H125" s="1"/>
  <c r="G127"/>
  <c r="H127" s="1"/>
  <c r="H256"/>
  <c r="I256" s="1"/>
  <c r="G138"/>
  <c r="H138" s="1"/>
  <c r="G147"/>
  <c r="H147" s="1"/>
  <c r="G152"/>
  <c r="H152" s="1"/>
  <c r="G136"/>
  <c r="H136" s="1"/>
  <c r="G149"/>
  <c r="H149" s="1"/>
  <c r="G129"/>
  <c r="H129" s="1"/>
  <c r="G131"/>
  <c r="H131" s="1"/>
  <c r="H255"/>
  <c r="I255" s="1"/>
  <c r="C192"/>
  <c r="D238" s="1"/>
  <c r="D265"/>
  <c r="G146"/>
  <c r="H146" s="1"/>
  <c r="G130"/>
  <c r="H130" s="1"/>
  <c r="G139"/>
  <c r="H139" s="1"/>
  <c r="G144"/>
  <c r="H144" s="1"/>
  <c r="G128"/>
  <c r="H128" s="1"/>
  <c r="G137"/>
  <c r="H137" s="1"/>
  <c r="G123"/>
  <c r="H123" s="1"/>
  <c r="D239"/>
  <c r="D197"/>
  <c r="D237"/>
  <c r="D199"/>
  <c r="D200"/>
  <c r="B81"/>
  <c r="C212"/>
  <c r="D198"/>
  <c r="C242"/>
  <c r="B82"/>
  <c r="F72"/>
  <c r="H14"/>
  <c r="G14"/>
  <c r="F62"/>
  <c r="F66"/>
  <c r="F65"/>
  <c r="F49"/>
  <c r="F75"/>
  <c r="F59"/>
  <c r="F76"/>
  <c r="F48"/>
  <c r="F70"/>
  <c r="F74"/>
  <c r="F69"/>
  <c r="F53"/>
  <c r="F52"/>
  <c r="F63"/>
  <c r="F47"/>
  <c r="F56"/>
  <c r="F50"/>
  <c r="F73"/>
  <c r="F57"/>
  <c r="F60"/>
  <c r="F67"/>
  <c r="F51"/>
  <c r="F64"/>
  <c r="F54"/>
  <c r="F58"/>
  <c r="F61"/>
  <c r="F68"/>
  <c r="F71"/>
  <c r="F55"/>
  <c r="H271" l="1"/>
  <c r="H272"/>
  <c r="H270"/>
  <c r="C260"/>
  <c r="D260" s="1"/>
  <c r="F113"/>
  <c r="F109"/>
  <c r="F105"/>
  <c r="F101"/>
  <c r="F97"/>
  <c r="F93"/>
  <c r="F89"/>
  <c r="F85"/>
  <c r="F106"/>
  <c r="F98"/>
  <c r="F90"/>
  <c r="F114"/>
  <c r="F110"/>
  <c r="F102"/>
  <c r="F94"/>
  <c r="F86"/>
  <c r="F111"/>
  <c r="F107"/>
  <c r="F103"/>
  <c r="F99"/>
  <c r="F95"/>
  <c r="F91"/>
  <c r="F87"/>
  <c r="F112"/>
  <c r="F108"/>
  <c r="F104"/>
  <c r="F100"/>
  <c r="F96"/>
  <c r="F92"/>
  <c r="F88"/>
</calcChain>
</file>

<file path=xl/sharedStrings.xml><?xml version="1.0" encoding="utf-8"?>
<sst xmlns="http://schemas.openxmlformats.org/spreadsheetml/2006/main" count="151" uniqueCount="68">
  <si>
    <t>Έτος</t>
  </si>
  <si>
    <r>
      <t>Παροχή (m</t>
    </r>
    <r>
      <rPr>
        <b/>
        <vertAlign val="superscript"/>
        <sz val="11"/>
        <color theme="1"/>
        <rFont val="Times New Roman"/>
        <family val="1"/>
        <charset val="161"/>
      </rPr>
      <t>3</t>
    </r>
    <r>
      <rPr>
        <b/>
        <sz val="11"/>
        <color theme="1"/>
        <rFont val="Times New Roman"/>
        <family val="1"/>
        <charset val="161"/>
      </rPr>
      <t>/s)</t>
    </r>
  </si>
  <si>
    <t>Μέση ετήσια</t>
  </si>
  <si>
    <t>Μέγιστη ημερήσια</t>
  </si>
  <si>
    <t>ΕΡΩΤΗΜΑ 1:</t>
  </si>
  <si>
    <t>Μέση τιμή</t>
  </si>
  <si>
    <t>Τυπική απόκλιση</t>
  </si>
  <si>
    <t>Συντελεστής ασσυμετρίας</t>
  </si>
  <si>
    <t>Μέγιστη τιμή</t>
  </si>
  <si>
    <t>Ελάχιστη τιμή</t>
  </si>
  <si>
    <t>Συντελεστής διασποράς</t>
  </si>
  <si>
    <t>Συντελεστής κύρτωσης</t>
  </si>
  <si>
    <t>ΕΡΩΤΗΜΑ 2:</t>
  </si>
  <si>
    <t>Φθίνουσα ταξινόμηση</t>
  </si>
  <si>
    <t>F</t>
  </si>
  <si>
    <t>F (Gauss)</t>
  </si>
  <si>
    <t>Μέση ετήσια παροχή</t>
  </si>
  <si>
    <t>Μεταβλητή X</t>
  </si>
  <si>
    <t>ΕΡΩΤΗΜΑ 3:</t>
  </si>
  <si>
    <t>Μέγιστη ημερήσια παροχή</t>
  </si>
  <si>
    <t>Fεμπειρική</t>
  </si>
  <si>
    <t>GUMBEL</t>
  </si>
  <si>
    <t>α</t>
  </si>
  <si>
    <t>c</t>
  </si>
  <si>
    <t>X = c-ln(-lnFx)/a</t>
  </si>
  <si>
    <t>LOG-NORMAL</t>
  </si>
  <si>
    <t>Ln παροχής</t>
  </si>
  <si>
    <t>z</t>
  </si>
  <si>
    <t>Λογαριθμική</t>
  </si>
  <si>
    <t>x</t>
  </si>
  <si>
    <t>Q=EXP(x)</t>
  </si>
  <si>
    <t>ΕΡΩΤΗΜΑ 4:</t>
  </si>
  <si>
    <t>Μέγεθος δείγματος Ν</t>
  </si>
  <si>
    <t>GAUSS</t>
  </si>
  <si>
    <t>Κλάσεις</t>
  </si>
  <si>
    <t>Fz πιθανότητα</t>
  </si>
  <si>
    <t>-</t>
  </si>
  <si>
    <t>Θεωρητικός αριθμός σημείων Ei</t>
  </si>
  <si>
    <t>Ni</t>
  </si>
  <si>
    <t>(Ni-Ei)2/Ei</t>
  </si>
  <si>
    <t>D</t>
  </si>
  <si>
    <t>Βαθμοί ελευθερίας</t>
  </si>
  <si>
    <t>Βαθμός σημαντικότητας</t>
  </si>
  <si>
    <t>x^2</t>
  </si>
  <si>
    <t>Έλεγχος</t>
  </si>
  <si>
    <t>&gt;  D</t>
  </si>
  <si>
    <t xml:space="preserve">&gt;  D </t>
  </si>
  <si>
    <t>ΕΡΩΤΗΜΑ 5:</t>
  </si>
  <si>
    <t>Περίοδος επαναφοράς T (έτη)</t>
  </si>
  <si>
    <t>Πιθανότητα μη υπέρβασης F</t>
  </si>
  <si>
    <t>Απορροή (m3/s)</t>
  </si>
  <si>
    <t>Επαρκής υδροδότηση (m3/s)</t>
  </si>
  <si>
    <t>Πιθανότητα μη υπέρβασης</t>
  </si>
  <si>
    <t>Για την υδροδότηση της πόλης, η απορροή πρέπει να είναι τουλάχιστον 17,33 m3/s. Η πιθανότητα αδυναμίας πλήρους κάλυψης ισούται με την πιθανότητα μη υπέρβασης, άρα 11,86% .</t>
  </si>
  <si>
    <t>ΕΡΩΤΗΜΑ 6:</t>
  </si>
  <si>
    <t>LOG NORMAL</t>
  </si>
  <si>
    <t>Παροχή (m3/s)</t>
  </si>
  <si>
    <t>Πιθανότητα υπέρβασης</t>
  </si>
  <si>
    <t>ΕΡΩΤΗΜΑ 7:</t>
  </si>
  <si>
    <t>Z</t>
  </si>
  <si>
    <t>a</t>
  </si>
  <si>
    <t>(1+a)/2</t>
  </si>
  <si>
    <t>K</t>
  </si>
  <si>
    <t>δ</t>
  </si>
  <si>
    <t>St</t>
  </si>
  <si>
    <t>x(max)</t>
  </si>
  <si>
    <t>x(min)</t>
  </si>
  <si>
    <t>ΔΟΚΙΜΗ x^2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</si>
</sst>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0.000"/>
    <numFmt numFmtId="166" formatCode="0.0"/>
  </numFmts>
  <fonts count="9">
    <font>
      <sz val="11"/>
      <color theme="1"/>
      <name val="Calibri"/>
      <family val="2"/>
      <charset val="161"/>
      <scheme val="minor"/>
    </font>
    <font>
      <sz val="12"/>
      <color theme="1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b/>
      <vertAlign val="superscript"/>
      <sz val="11"/>
      <color theme="1"/>
      <name val="Times New Roman"/>
      <family val="1"/>
      <charset val="161"/>
    </font>
    <font>
      <b/>
      <sz val="14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2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center" vertical="top"/>
    </xf>
    <xf numFmtId="0" fontId="0" fillId="0" borderId="1" xfId="0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165" fontId="0" fillId="0" borderId="1" xfId="0" applyNumberFormat="1" applyBorder="1" applyAlignment="1">
      <alignment horizontal="center"/>
    </xf>
    <xf numFmtId="2" fontId="5" fillId="0" borderId="1" xfId="0" applyNumberFormat="1" applyFont="1" applyBorder="1"/>
    <xf numFmtId="166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2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5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right"/>
    </xf>
    <xf numFmtId="9" fontId="0" fillId="0" borderId="1" xfId="0" applyNumberFormat="1" applyBorder="1" applyAlignment="1">
      <alignment horizontal="center"/>
    </xf>
    <xf numFmtId="0" fontId="6" fillId="2" borderId="2" xfId="0" applyFont="1" applyFill="1" applyBorder="1"/>
    <xf numFmtId="0" fontId="5" fillId="0" borderId="6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8" fillId="0" borderId="0" xfId="0" applyFont="1" applyAlignment="1"/>
    <xf numFmtId="10" fontId="0" fillId="0" borderId="1" xfId="0" applyNumberForma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6" fillId="0" borderId="0" xfId="0" applyFont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>
        <c:manualLayout>
          <c:layoutTarget val="inner"/>
          <c:xMode val="edge"/>
          <c:yMode val="edge"/>
          <c:x val="3.9881275344783612E-2"/>
          <c:y val="3.3398513475058803E-2"/>
          <c:w val="0.72538886420710014"/>
          <c:h val="0.91437731208930662"/>
        </c:manualLayout>
      </c:layout>
      <c:scatterChart>
        <c:scatterStyle val="lineMarker"/>
        <c:ser>
          <c:idx val="0"/>
          <c:order val="0"/>
          <c:tx>
            <c:v>Κατανομή δείγματος</c:v>
          </c:tx>
          <c:spPr>
            <a:ln w="28575">
              <a:noFill/>
            </a:ln>
          </c:spPr>
          <c:xVal>
            <c:numRef>
              <c:f>Φύλλο1!$E$47:$E$76</c:f>
              <c:numCache>
                <c:formatCode>0.0000</c:formatCode>
                <c:ptCount val="30"/>
                <c:pt idx="0">
                  <c:v>0.967741935483871</c:v>
                </c:pt>
                <c:pt idx="1">
                  <c:v>0.93548387096774199</c:v>
                </c:pt>
                <c:pt idx="2">
                  <c:v>0.90322580645161288</c:v>
                </c:pt>
                <c:pt idx="3">
                  <c:v>0.87096774193548387</c:v>
                </c:pt>
                <c:pt idx="4">
                  <c:v>0.83870967741935487</c:v>
                </c:pt>
                <c:pt idx="5">
                  <c:v>0.80645161290322576</c:v>
                </c:pt>
                <c:pt idx="6">
                  <c:v>0.77419354838709675</c:v>
                </c:pt>
                <c:pt idx="7">
                  <c:v>0.74193548387096775</c:v>
                </c:pt>
                <c:pt idx="8">
                  <c:v>0.70967741935483875</c:v>
                </c:pt>
                <c:pt idx="9">
                  <c:v>0.67741935483870974</c:v>
                </c:pt>
                <c:pt idx="10">
                  <c:v>0.64516129032258063</c:v>
                </c:pt>
                <c:pt idx="11">
                  <c:v>0.61290322580645162</c:v>
                </c:pt>
                <c:pt idx="12">
                  <c:v>0.58064516129032251</c:v>
                </c:pt>
                <c:pt idx="13">
                  <c:v>0.54838709677419351</c:v>
                </c:pt>
                <c:pt idx="14">
                  <c:v>0.5161290322580645</c:v>
                </c:pt>
                <c:pt idx="15">
                  <c:v>0.4838709677419355</c:v>
                </c:pt>
                <c:pt idx="16">
                  <c:v>0.45161290322580649</c:v>
                </c:pt>
                <c:pt idx="17">
                  <c:v>0.41935483870967738</c:v>
                </c:pt>
                <c:pt idx="18">
                  <c:v>0.38709677419354838</c:v>
                </c:pt>
                <c:pt idx="19">
                  <c:v>0.35483870967741937</c:v>
                </c:pt>
                <c:pt idx="20">
                  <c:v>0.32258064516129037</c:v>
                </c:pt>
                <c:pt idx="21">
                  <c:v>0.29032258064516125</c:v>
                </c:pt>
                <c:pt idx="22">
                  <c:v>0.25806451612903225</c:v>
                </c:pt>
                <c:pt idx="23">
                  <c:v>0.22580645161290325</c:v>
                </c:pt>
                <c:pt idx="24">
                  <c:v>0.19354838709677424</c:v>
                </c:pt>
                <c:pt idx="25">
                  <c:v>0.16129032258064513</c:v>
                </c:pt>
                <c:pt idx="26">
                  <c:v>0.12903225806451613</c:v>
                </c:pt>
                <c:pt idx="27">
                  <c:v>9.6774193548387122E-2</c:v>
                </c:pt>
                <c:pt idx="28">
                  <c:v>6.4516129032258118E-2</c:v>
                </c:pt>
                <c:pt idx="29">
                  <c:v>3.2258064516129004E-2</c:v>
                </c:pt>
              </c:numCache>
            </c:numRef>
          </c:xVal>
          <c:yVal>
            <c:numRef>
              <c:f>Φύλλο1!$D$47:$D$76</c:f>
              <c:numCache>
                <c:formatCode>General</c:formatCode>
                <c:ptCount val="30"/>
                <c:pt idx="0">
                  <c:v>36.4</c:v>
                </c:pt>
                <c:pt idx="1">
                  <c:v>35.200000000000003</c:v>
                </c:pt>
                <c:pt idx="2">
                  <c:v>33.700000000000003</c:v>
                </c:pt>
                <c:pt idx="3">
                  <c:v>32.5</c:v>
                </c:pt>
                <c:pt idx="4">
                  <c:v>32.299999999999997</c:v>
                </c:pt>
                <c:pt idx="5">
                  <c:v>32.1</c:v>
                </c:pt>
                <c:pt idx="6">
                  <c:v>31.5</c:v>
                </c:pt>
                <c:pt idx="7">
                  <c:v>29.3</c:v>
                </c:pt>
                <c:pt idx="8" formatCode="0.00">
                  <c:v>28.1</c:v>
                </c:pt>
                <c:pt idx="9" formatCode="0.00">
                  <c:v>26.8</c:v>
                </c:pt>
                <c:pt idx="10">
                  <c:v>26.8</c:v>
                </c:pt>
                <c:pt idx="11">
                  <c:v>26.7</c:v>
                </c:pt>
                <c:pt idx="12">
                  <c:v>26.2</c:v>
                </c:pt>
                <c:pt idx="13">
                  <c:v>25.7</c:v>
                </c:pt>
                <c:pt idx="14">
                  <c:v>24.6</c:v>
                </c:pt>
                <c:pt idx="15">
                  <c:v>24.4</c:v>
                </c:pt>
                <c:pt idx="16">
                  <c:v>24.2</c:v>
                </c:pt>
                <c:pt idx="17">
                  <c:v>22.7</c:v>
                </c:pt>
                <c:pt idx="18">
                  <c:v>21.9</c:v>
                </c:pt>
                <c:pt idx="19">
                  <c:v>21.7</c:v>
                </c:pt>
                <c:pt idx="20">
                  <c:v>21.5</c:v>
                </c:pt>
                <c:pt idx="21">
                  <c:v>20.6</c:v>
                </c:pt>
                <c:pt idx="22">
                  <c:v>19.8</c:v>
                </c:pt>
                <c:pt idx="23">
                  <c:v>19.5</c:v>
                </c:pt>
                <c:pt idx="24">
                  <c:v>18.899999999999999</c:v>
                </c:pt>
                <c:pt idx="25">
                  <c:v>17.899999999999999</c:v>
                </c:pt>
                <c:pt idx="26">
                  <c:v>17.8</c:v>
                </c:pt>
                <c:pt idx="27">
                  <c:v>16.5</c:v>
                </c:pt>
                <c:pt idx="28">
                  <c:v>16.2</c:v>
                </c:pt>
                <c:pt idx="29">
                  <c:v>11.2</c:v>
                </c:pt>
              </c:numCache>
            </c:numRef>
          </c:yVal>
        </c:ser>
        <c:axId val="107239296"/>
        <c:axId val="107240832"/>
      </c:scatterChart>
      <c:scatterChart>
        <c:scatterStyle val="smoothMarker"/>
        <c:ser>
          <c:idx val="1"/>
          <c:order val="1"/>
          <c:tx>
            <c:v>Κατανομή Gauss</c:v>
          </c:tx>
          <c:marker>
            <c:symbol val="none"/>
          </c:marker>
          <c:xVal>
            <c:numRef>
              <c:f>Φύλλο1!$E$47:$E$76</c:f>
              <c:numCache>
                <c:formatCode>0.0000</c:formatCode>
                <c:ptCount val="30"/>
                <c:pt idx="0">
                  <c:v>0.967741935483871</c:v>
                </c:pt>
                <c:pt idx="1">
                  <c:v>0.93548387096774199</c:v>
                </c:pt>
                <c:pt idx="2">
                  <c:v>0.90322580645161288</c:v>
                </c:pt>
                <c:pt idx="3">
                  <c:v>0.87096774193548387</c:v>
                </c:pt>
                <c:pt idx="4">
                  <c:v>0.83870967741935487</c:v>
                </c:pt>
                <c:pt idx="5">
                  <c:v>0.80645161290322576</c:v>
                </c:pt>
                <c:pt idx="6">
                  <c:v>0.77419354838709675</c:v>
                </c:pt>
                <c:pt idx="7">
                  <c:v>0.74193548387096775</c:v>
                </c:pt>
                <c:pt idx="8">
                  <c:v>0.70967741935483875</c:v>
                </c:pt>
                <c:pt idx="9">
                  <c:v>0.67741935483870974</c:v>
                </c:pt>
                <c:pt idx="10">
                  <c:v>0.64516129032258063</c:v>
                </c:pt>
                <c:pt idx="11">
                  <c:v>0.61290322580645162</c:v>
                </c:pt>
                <c:pt idx="12">
                  <c:v>0.58064516129032251</c:v>
                </c:pt>
                <c:pt idx="13">
                  <c:v>0.54838709677419351</c:v>
                </c:pt>
                <c:pt idx="14">
                  <c:v>0.5161290322580645</c:v>
                </c:pt>
                <c:pt idx="15">
                  <c:v>0.4838709677419355</c:v>
                </c:pt>
                <c:pt idx="16">
                  <c:v>0.45161290322580649</c:v>
                </c:pt>
                <c:pt idx="17">
                  <c:v>0.41935483870967738</c:v>
                </c:pt>
                <c:pt idx="18">
                  <c:v>0.38709677419354838</c:v>
                </c:pt>
                <c:pt idx="19">
                  <c:v>0.35483870967741937</c:v>
                </c:pt>
                <c:pt idx="20">
                  <c:v>0.32258064516129037</c:v>
                </c:pt>
                <c:pt idx="21">
                  <c:v>0.29032258064516125</c:v>
                </c:pt>
                <c:pt idx="22">
                  <c:v>0.25806451612903225</c:v>
                </c:pt>
                <c:pt idx="23">
                  <c:v>0.22580645161290325</c:v>
                </c:pt>
                <c:pt idx="24">
                  <c:v>0.19354838709677424</c:v>
                </c:pt>
                <c:pt idx="25">
                  <c:v>0.16129032258064513</c:v>
                </c:pt>
                <c:pt idx="26">
                  <c:v>0.12903225806451613</c:v>
                </c:pt>
                <c:pt idx="27">
                  <c:v>9.6774193548387122E-2</c:v>
                </c:pt>
                <c:pt idx="28">
                  <c:v>6.4516129032258118E-2</c:v>
                </c:pt>
                <c:pt idx="29">
                  <c:v>3.2258064516129004E-2</c:v>
                </c:pt>
              </c:numCache>
            </c:numRef>
          </c:xVal>
          <c:yVal>
            <c:numRef>
              <c:f>Φύλλο1!$F$47:$F$76</c:f>
              <c:numCache>
                <c:formatCode>0.000</c:formatCode>
                <c:ptCount val="30"/>
                <c:pt idx="0">
                  <c:v>36.372143258295083</c:v>
                </c:pt>
                <c:pt idx="1">
                  <c:v>34.2944282269859</c:v>
                </c:pt>
                <c:pt idx="2">
                  <c:v>32.926055442731304</c:v>
                </c:pt>
                <c:pt idx="3">
                  <c:v>31.863055452547599</c:v>
                </c:pt>
                <c:pt idx="4">
                  <c:v>30.972012390076411</c:v>
                </c:pt>
                <c:pt idx="5">
                  <c:v>30.191147001842733</c:v>
                </c:pt>
                <c:pt idx="6">
                  <c:v>29.48636548946282</c:v>
                </c:pt>
                <c:pt idx="7">
                  <c:v>28.836630886499734</c:v>
                </c:pt>
                <c:pt idx="8">
                  <c:v>28.227886397062882</c:v>
                </c:pt>
                <c:pt idx="9">
                  <c:v>27.650139715809861</c:v>
                </c:pt>
                <c:pt idx="10">
                  <c:v>27.095910977982097</c:v>
                </c:pt>
                <c:pt idx="11">
                  <c:v>26.559336939796779</c:v>
                </c:pt>
                <c:pt idx="12">
                  <c:v>26.035617225765328</c:v>
                </c:pt>
                <c:pt idx="13">
                  <c:v>25.520649266307444</c:v>
                </c:pt>
                <c:pt idx="14">
                  <c:v>25.010770704156979</c:v>
                </c:pt>
                <c:pt idx="15">
                  <c:v>24.502562629176357</c:v>
                </c:pt>
                <c:pt idx="16">
                  <c:v>23.992684067025891</c:v>
                </c:pt>
                <c:pt idx="17">
                  <c:v>23.477716107568003</c:v>
                </c:pt>
                <c:pt idx="18">
                  <c:v>22.953996393536553</c:v>
                </c:pt>
                <c:pt idx="19">
                  <c:v>22.417422355351235</c:v>
                </c:pt>
                <c:pt idx="20">
                  <c:v>21.863193617523475</c:v>
                </c:pt>
                <c:pt idx="21">
                  <c:v>21.28544693627045</c:v>
                </c:pt>
                <c:pt idx="22">
                  <c:v>20.676702446833602</c:v>
                </c:pt>
                <c:pt idx="23">
                  <c:v>20.026967843870512</c:v>
                </c:pt>
                <c:pt idx="24">
                  <c:v>19.322186331490599</c:v>
                </c:pt>
                <c:pt idx="25">
                  <c:v>18.541320943256924</c:v>
                </c:pt>
                <c:pt idx="26">
                  <c:v>17.650277880785733</c:v>
                </c:pt>
                <c:pt idx="27">
                  <c:v>16.587277890602032</c:v>
                </c:pt>
                <c:pt idx="28">
                  <c:v>15.218905106347439</c:v>
                </c:pt>
                <c:pt idx="29">
                  <c:v>13.141190075038251</c:v>
                </c:pt>
              </c:numCache>
            </c:numRef>
          </c:yVal>
          <c:smooth val="1"/>
        </c:ser>
        <c:axId val="107239296"/>
        <c:axId val="107240832"/>
      </c:scatterChart>
      <c:valAx>
        <c:axId val="107239296"/>
        <c:scaling>
          <c:orientation val="minMax"/>
        </c:scaling>
        <c:axPos val="b"/>
        <c:numFmt formatCode="0.0000" sourceLinked="1"/>
        <c:tickLblPos val="nextTo"/>
        <c:crossAx val="107240832"/>
        <c:crosses val="autoZero"/>
        <c:crossBetween val="midCat"/>
      </c:valAx>
      <c:valAx>
        <c:axId val="107240832"/>
        <c:scaling>
          <c:orientation val="minMax"/>
        </c:scaling>
        <c:axPos val="l"/>
        <c:majorGridlines/>
        <c:numFmt formatCode="General" sourceLinked="1"/>
        <c:tickLblPos val="nextTo"/>
        <c:crossAx val="107239296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/>
      <c:scatterChart>
        <c:scatterStyle val="lineMarker"/>
        <c:ser>
          <c:idx val="0"/>
          <c:order val="0"/>
          <c:tx>
            <c:v>Κατανομή δείγματος</c:v>
          </c:tx>
          <c:spPr>
            <a:ln w="28575">
              <a:noFill/>
            </a:ln>
          </c:spPr>
          <c:xVal>
            <c:numRef>
              <c:f>Φύλλο1!$E$85:$E$114</c:f>
              <c:numCache>
                <c:formatCode>0.0000</c:formatCode>
                <c:ptCount val="30"/>
                <c:pt idx="0">
                  <c:v>0.967741935483871</c:v>
                </c:pt>
                <c:pt idx="1">
                  <c:v>0.93548387096774199</c:v>
                </c:pt>
                <c:pt idx="2">
                  <c:v>0.90322580645161288</c:v>
                </c:pt>
                <c:pt idx="3">
                  <c:v>0.87096774193548387</c:v>
                </c:pt>
                <c:pt idx="4">
                  <c:v>0.83870967741935487</c:v>
                </c:pt>
                <c:pt idx="5">
                  <c:v>0.80645161290322576</c:v>
                </c:pt>
                <c:pt idx="6">
                  <c:v>0.77419354838709675</c:v>
                </c:pt>
                <c:pt idx="7">
                  <c:v>0.74193548387096775</c:v>
                </c:pt>
                <c:pt idx="8">
                  <c:v>0.70967741935483875</c:v>
                </c:pt>
                <c:pt idx="9">
                  <c:v>0.67741935483870974</c:v>
                </c:pt>
                <c:pt idx="10">
                  <c:v>0.64516129032258063</c:v>
                </c:pt>
                <c:pt idx="11">
                  <c:v>0.61290322580645162</c:v>
                </c:pt>
                <c:pt idx="12">
                  <c:v>0.58064516129032251</c:v>
                </c:pt>
                <c:pt idx="13">
                  <c:v>0.54838709677419351</c:v>
                </c:pt>
                <c:pt idx="14">
                  <c:v>0.5161290322580645</c:v>
                </c:pt>
                <c:pt idx="15">
                  <c:v>0.4838709677419355</c:v>
                </c:pt>
                <c:pt idx="16">
                  <c:v>0.45161290322580649</c:v>
                </c:pt>
                <c:pt idx="17">
                  <c:v>0.41935483870967738</c:v>
                </c:pt>
                <c:pt idx="18">
                  <c:v>0.38709677419354838</c:v>
                </c:pt>
                <c:pt idx="19">
                  <c:v>0.35483870967741937</c:v>
                </c:pt>
                <c:pt idx="20">
                  <c:v>0.32258064516129037</c:v>
                </c:pt>
                <c:pt idx="21">
                  <c:v>0.29032258064516125</c:v>
                </c:pt>
                <c:pt idx="22">
                  <c:v>0.25806451612903225</c:v>
                </c:pt>
                <c:pt idx="23">
                  <c:v>0.22580645161290325</c:v>
                </c:pt>
                <c:pt idx="24">
                  <c:v>0.19354838709677424</c:v>
                </c:pt>
                <c:pt idx="25">
                  <c:v>0.16129032258064513</c:v>
                </c:pt>
                <c:pt idx="26">
                  <c:v>0.12903225806451613</c:v>
                </c:pt>
                <c:pt idx="27">
                  <c:v>9.6774193548387122E-2</c:v>
                </c:pt>
                <c:pt idx="28">
                  <c:v>6.4516129032258118E-2</c:v>
                </c:pt>
                <c:pt idx="29">
                  <c:v>3.2258064516129004E-2</c:v>
                </c:pt>
              </c:numCache>
            </c:numRef>
          </c:xVal>
          <c:yVal>
            <c:numRef>
              <c:f>Φύλλο1!$D$85:$D$114</c:f>
              <c:numCache>
                <c:formatCode>General</c:formatCode>
                <c:ptCount val="30"/>
                <c:pt idx="0">
                  <c:v>890</c:v>
                </c:pt>
                <c:pt idx="1">
                  <c:v>762</c:v>
                </c:pt>
                <c:pt idx="2">
                  <c:v>712</c:v>
                </c:pt>
                <c:pt idx="3">
                  <c:v>659</c:v>
                </c:pt>
                <c:pt idx="4">
                  <c:v>616</c:v>
                </c:pt>
                <c:pt idx="5">
                  <c:v>531</c:v>
                </c:pt>
                <c:pt idx="6">
                  <c:v>512</c:v>
                </c:pt>
                <c:pt idx="7">
                  <c:v>453</c:v>
                </c:pt>
                <c:pt idx="8">
                  <c:v>441</c:v>
                </c:pt>
                <c:pt idx="9">
                  <c:v>432</c:v>
                </c:pt>
                <c:pt idx="10">
                  <c:v>426</c:v>
                </c:pt>
                <c:pt idx="11">
                  <c:v>411</c:v>
                </c:pt>
                <c:pt idx="12">
                  <c:v>392</c:v>
                </c:pt>
                <c:pt idx="13">
                  <c:v>375</c:v>
                </c:pt>
                <c:pt idx="14">
                  <c:v>375</c:v>
                </c:pt>
                <c:pt idx="15">
                  <c:v>362</c:v>
                </c:pt>
                <c:pt idx="16">
                  <c:v>361</c:v>
                </c:pt>
                <c:pt idx="17">
                  <c:v>356</c:v>
                </c:pt>
                <c:pt idx="18">
                  <c:v>330</c:v>
                </c:pt>
                <c:pt idx="19">
                  <c:v>323</c:v>
                </c:pt>
                <c:pt idx="20">
                  <c:v>276</c:v>
                </c:pt>
                <c:pt idx="21">
                  <c:v>219</c:v>
                </c:pt>
                <c:pt idx="22">
                  <c:v>194</c:v>
                </c:pt>
                <c:pt idx="23">
                  <c:v>191</c:v>
                </c:pt>
                <c:pt idx="24">
                  <c:v>185</c:v>
                </c:pt>
                <c:pt idx="25">
                  <c:v>159</c:v>
                </c:pt>
                <c:pt idx="26">
                  <c:v>156</c:v>
                </c:pt>
                <c:pt idx="27">
                  <c:v>154</c:v>
                </c:pt>
                <c:pt idx="28">
                  <c:v>134</c:v>
                </c:pt>
                <c:pt idx="29">
                  <c:v>87</c:v>
                </c:pt>
              </c:numCache>
            </c:numRef>
          </c:yVal>
        </c:ser>
        <c:axId val="107356928"/>
        <c:axId val="107358464"/>
      </c:scatterChart>
      <c:scatterChart>
        <c:scatterStyle val="smoothMarker"/>
        <c:ser>
          <c:idx val="1"/>
          <c:order val="1"/>
          <c:tx>
            <c:v>Gumbel</c:v>
          </c:tx>
          <c:marker>
            <c:symbol val="none"/>
          </c:marker>
          <c:xVal>
            <c:numRef>
              <c:f>Φύλλο1!$E$85:$E$114</c:f>
              <c:numCache>
                <c:formatCode>0.0000</c:formatCode>
                <c:ptCount val="30"/>
                <c:pt idx="0">
                  <c:v>0.967741935483871</c:v>
                </c:pt>
                <c:pt idx="1">
                  <c:v>0.93548387096774199</c:v>
                </c:pt>
                <c:pt idx="2">
                  <c:v>0.90322580645161288</c:v>
                </c:pt>
                <c:pt idx="3">
                  <c:v>0.87096774193548387</c:v>
                </c:pt>
                <c:pt idx="4">
                  <c:v>0.83870967741935487</c:v>
                </c:pt>
                <c:pt idx="5">
                  <c:v>0.80645161290322576</c:v>
                </c:pt>
                <c:pt idx="6">
                  <c:v>0.77419354838709675</c:v>
                </c:pt>
                <c:pt idx="7">
                  <c:v>0.74193548387096775</c:v>
                </c:pt>
                <c:pt idx="8">
                  <c:v>0.70967741935483875</c:v>
                </c:pt>
                <c:pt idx="9">
                  <c:v>0.67741935483870974</c:v>
                </c:pt>
                <c:pt idx="10">
                  <c:v>0.64516129032258063</c:v>
                </c:pt>
                <c:pt idx="11">
                  <c:v>0.61290322580645162</c:v>
                </c:pt>
                <c:pt idx="12">
                  <c:v>0.58064516129032251</c:v>
                </c:pt>
                <c:pt idx="13">
                  <c:v>0.54838709677419351</c:v>
                </c:pt>
                <c:pt idx="14">
                  <c:v>0.5161290322580645</c:v>
                </c:pt>
                <c:pt idx="15">
                  <c:v>0.4838709677419355</c:v>
                </c:pt>
                <c:pt idx="16">
                  <c:v>0.45161290322580649</c:v>
                </c:pt>
                <c:pt idx="17">
                  <c:v>0.41935483870967738</c:v>
                </c:pt>
                <c:pt idx="18">
                  <c:v>0.38709677419354838</c:v>
                </c:pt>
                <c:pt idx="19">
                  <c:v>0.35483870967741937</c:v>
                </c:pt>
                <c:pt idx="20">
                  <c:v>0.32258064516129037</c:v>
                </c:pt>
                <c:pt idx="21">
                  <c:v>0.29032258064516125</c:v>
                </c:pt>
                <c:pt idx="22">
                  <c:v>0.25806451612903225</c:v>
                </c:pt>
                <c:pt idx="23">
                  <c:v>0.22580645161290325</c:v>
                </c:pt>
                <c:pt idx="24">
                  <c:v>0.19354838709677424</c:v>
                </c:pt>
                <c:pt idx="25">
                  <c:v>0.16129032258064513</c:v>
                </c:pt>
                <c:pt idx="26">
                  <c:v>0.12903225806451613</c:v>
                </c:pt>
                <c:pt idx="27">
                  <c:v>9.6774193548387122E-2</c:v>
                </c:pt>
                <c:pt idx="28">
                  <c:v>6.4516129032258118E-2</c:v>
                </c:pt>
                <c:pt idx="29">
                  <c:v>3.2258064516129004E-2</c:v>
                </c:pt>
              </c:numCache>
            </c:numRef>
          </c:xVal>
          <c:yVal>
            <c:numRef>
              <c:f>Φύλλο1!$F$85:$F$114</c:f>
              <c:numCache>
                <c:formatCode>0.000</c:formatCode>
                <c:ptCount val="30"/>
                <c:pt idx="0">
                  <c:v>824.37672929540031</c:v>
                </c:pt>
                <c:pt idx="1">
                  <c:v>713.93450027849713</c:v>
                </c:pt>
                <c:pt idx="2">
                  <c:v>648.16851573535951</c:v>
                </c:pt>
                <c:pt idx="3">
                  <c:v>600.64402324080174</c:v>
                </c:pt>
                <c:pt idx="4">
                  <c:v>563.07273330728572</c:v>
                </c:pt>
                <c:pt idx="5">
                  <c:v>531.75918543782871</c:v>
                </c:pt>
                <c:pt idx="6">
                  <c:v>504.72858501358053</c:v>
                </c:pt>
                <c:pt idx="7">
                  <c:v>480.79862982192947</c:v>
                </c:pt>
                <c:pt idx="8">
                  <c:v>459.20309276873917</c:v>
                </c:pt>
                <c:pt idx="9">
                  <c:v>439.41500762892679</c:v>
                </c:pt>
                <c:pt idx="10">
                  <c:v>421.05446194379391</c:v>
                </c:pt>
                <c:pt idx="11">
                  <c:v>403.83654383734307</c:v>
                </c:pt>
                <c:pt idx="12">
                  <c:v>387.54003063010202</c:v>
                </c:pt>
                <c:pt idx="13">
                  <c:v>371.98751117918664</c:v>
                </c:pt>
                <c:pt idx="14">
                  <c:v>357.03212800708855</c:v>
                </c:pt>
                <c:pt idx="15">
                  <c:v>342.54828071008984</c:v>
                </c:pt>
                <c:pt idx="16">
                  <c:v>328.42472516555114</c:v>
                </c:pt>
                <c:pt idx="17">
                  <c:v>314.55907399228488</c:v>
                </c:pt>
                <c:pt idx="18">
                  <c:v>300.85299365118016</c:v>
                </c:pt>
                <c:pt idx="19">
                  <c:v>287.20750847656086</c:v>
                </c:pt>
                <c:pt idx="20">
                  <c:v>273.51779462247447</c:v>
                </c:pt>
                <c:pt idx="21">
                  <c:v>259.66665157786724</c:v>
                </c:pt>
                <c:pt idx="22">
                  <c:v>245.51536735319439</c:v>
                </c:pt>
                <c:pt idx="23">
                  <c:v>230.88966442943018</c:v>
                </c:pt>
                <c:pt idx="24">
                  <c:v>215.55610106947731</c:v>
                </c:pt>
                <c:pt idx="25">
                  <c:v>199.17866813898237</c:v>
                </c:pt>
                <c:pt idx="26">
                  <c:v>181.22983963045036</c:v>
                </c:pt>
                <c:pt idx="27">
                  <c:v>160.77988901191029</c:v>
                </c:pt>
                <c:pt idx="28">
                  <c:v>135.87569416018911</c:v>
                </c:pt>
                <c:pt idx="29">
                  <c:v>100.80311537775495</c:v>
                </c:pt>
              </c:numCache>
            </c:numRef>
          </c:yVal>
          <c:smooth val="1"/>
        </c:ser>
        <c:ser>
          <c:idx val="2"/>
          <c:order val="2"/>
          <c:tx>
            <c:v>Log-Normal</c:v>
          </c:tx>
          <c:marker>
            <c:symbol val="none"/>
          </c:marker>
          <c:xVal>
            <c:numRef>
              <c:f>Φύλλο1!$F$123:$F$152</c:f>
              <c:numCache>
                <c:formatCode>0.0000</c:formatCode>
                <c:ptCount val="30"/>
                <c:pt idx="0">
                  <c:v>0.967741935483871</c:v>
                </c:pt>
                <c:pt idx="1">
                  <c:v>0.93548387096774199</c:v>
                </c:pt>
                <c:pt idx="2">
                  <c:v>0.90322580645161288</c:v>
                </c:pt>
                <c:pt idx="3">
                  <c:v>0.87096774193548387</c:v>
                </c:pt>
                <c:pt idx="4">
                  <c:v>0.83870967741935487</c:v>
                </c:pt>
                <c:pt idx="5">
                  <c:v>0.80645161290322576</c:v>
                </c:pt>
                <c:pt idx="6">
                  <c:v>0.77419354838709675</c:v>
                </c:pt>
                <c:pt idx="7">
                  <c:v>0.74193548387096775</c:v>
                </c:pt>
                <c:pt idx="8">
                  <c:v>0.70967741935483875</c:v>
                </c:pt>
                <c:pt idx="9">
                  <c:v>0.67741935483870974</c:v>
                </c:pt>
                <c:pt idx="10">
                  <c:v>0.64516129032258063</c:v>
                </c:pt>
                <c:pt idx="11">
                  <c:v>0.61290322580645162</c:v>
                </c:pt>
                <c:pt idx="12">
                  <c:v>0.58064516129032251</c:v>
                </c:pt>
                <c:pt idx="13">
                  <c:v>0.54838709677419351</c:v>
                </c:pt>
                <c:pt idx="14">
                  <c:v>0.5161290322580645</c:v>
                </c:pt>
                <c:pt idx="15">
                  <c:v>0.4838709677419355</c:v>
                </c:pt>
                <c:pt idx="16">
                  <c:v>0.45161290322580649</c:v>
                </c:pt>
                <c:pt idx="17">
                  <c:v>0.41935483870967738</c:v>
                </c:pt>
                <c:pt idx="18">
                  <c:v>0.38709677419354838</c:v>
                </c:pt>
                <c:pt idx="19">
                  <c:v>0.35483870967741937</c:v>
                </c:pt>
                <c:pt idx="20">
                  <c:v>0.32258064516129037</c:v>
                </c:pt>
                <c:pt idx="21">
                  <c:v>0.29032258064516125</c:v>
                </c:pt>
                <c:pt idx="22">
                  <c:v>0.25806451612903225</c:v>
                </c:pt>
                <c:pt idx="23">
                  <c:v>0.22580645161290325</c:v>
                </c:pt>
                <c:pt idx="24">
                  <c:v>0.19354838709677424</c:v>
                </c:pt>
                <c:pt idx="25">
                  <c:v>0.16129032258064513</c:v>
                </c:pt>
                <c:pt idx="26">
                  <c:v>0.12903225806451613</c:v>
                </c:pt>
                <c:pt idx="27">
                  <c:v>9.6774193548387122E-2</c:v>
                </c:pt>
                <c:pt idx="28">
                  <c:v>6.4516129032258118E-2</c:v>
                </c:pt>
                <c:pt idx="29">
                  <c:v>3.2258064516129004E-2</c:v>
                </c:pt>
              </c:numCache>
            </c:numRef>
          </c:xVal>
          <c:yVal>
            <c:numRef>
              <c:f>Φύλλο1!$H$123:$H$152</c:f>
              <c:numCache>
                <c:formatCode>0.00</c:formatCode>
                <c:ptCount val="30"/>
                <c:pt idx="0">
                  <c:v>949.18859371340091</c:v>
                </c:pt>
                <c:pt idx="1">
                  <c:v>786.31307198152638</c:v>
                </c:pt>
                <c:pt idx="2">
                  <c:v>694.62551559842893</c:v>
                </c:pt>
                <c:pt idx="3">
                  <c:v>630.84436876692678</c:v>
                </c:pt>
                <c:pt idx="4">
                  <c:v>581.91579525576674</c:v>
                </c:pt>
                <c:pt idx="5">
                  <c:v>542.16751853358926</c:v>
                </c:pt>
                <c:pt idx="6">
                  <c:v>508.62851736037192</c:v>
                </c:pt>
                <c:pt idx="7">
                  <c:v>479.55009857001374</c:v>
                </c:pt>
                <c:pt idx="8">
                  <c:v>453.81641722811878</c:v>
                </c:pt>
                <c:pt idx="9">
                  <c:v>430.67153558761078</c:v>
                </c:pt>
                <c:pt idx="10">
                  <c:v>409.57887973812677</c:v>
                </c:pt>
                <c:pt idx="11">
                  <c:v>390.14284093845816</c:v>
                </c:pt>
                <c:pt idx="12">
                  <c:v>372.06219287310051</c:v>
                </c:pt>
                <c:pt idx="13">
                  <c:v>355.10093656535281</c:v>
                </c:pt>
                <c:pt idx="14">
                  <c:v>339.06921377189252</c:v>
                </c:pt>
                <c:pt idx="15">
                  <c:v>323.8102810221468</c:v>
                </c:pt>
                <c:pt idx="16">
                  <c:v>309.19123576354878</c:v>
                </c:pt>
                <c:pt idx="17">
                  <c:v>295.09608742988439</c:v>
                </c:pt>
                <c:pt idx="18">
                  <c:v>281.42025401089978</c:v>
                </c:pt>
                <c:pt idx="19">
                  <c:v>268.06581791432762</c:v>
                </c:pt>
                <c:pt idx="20">
                  <c:v>254.93697243685085</c:v>
                </c:pt>
                <c:pt idx="21">
                  <c:v>241.93504956927339</c:v>
                </c:pt>
                <c:pt idx="22">
                  <c:v>228.95229867501564</c:v>
                </c:pt>
                <c:pt idx="23">
                  <c:v>215.86303883870514</c:v>
                </c:pt>
                <c:pt idx="24">
                  <c:v>202.50954482554957</c:v>
                </c:pt>
                <c:pt idx="25">
                  <c:v>188.67694998582689</c:v>
                </c:pt>
                <c:pt idx="26">
                  <c:v>174.04308072376526</c:v>
                </c:pt>
                <c:pt idx="27">
                  <c:v>158.06228670256363</c:v>
                </c:pt>
                <c:pt idx="28">
                  <c:v>139.63153012419266</c:v>
                </c:pt>
                <c:pt idx="29">
                  <c:v>115.67153053104042</c:v>
                </c:pt>
              </c:numCache>
            </c:numRef>
          </c:yVal>
          <c:smooth val="1"/>
        </c:ser>
        <c:axId val="107356928"/>
        <c:axId val="107358464"/>
      </c:scatterChart>
      <c:valAx>
        <c:axId val="107356928"/>
        <c:scaling>
          <c:orientation val="minMax"/>
        </c:scaling>
        <c:axPos val="b"/>
        <c:numFmt formatCode="0.0000" sourceLinked="1"/>
        <c:tickLblPos val="nextTo"/>
        <c:crossAx val="107358464"/>
        <c:crosses val="autoZero"/>
        <c:crossBetween val="midCat"/>
      </c:valAx>
      <c:valAx>
        <c:axId val="107358464"/>
        <c:scaling>
          <c:orientation val="minMax"/>
        </c:scaling>
        <c:axPos val="l"/>
        <c:majorGridlines/>
        <c:numFmt formatCode="General" sourceLinked="1"/>
        <c:tickLblPos val="nextTo"/>
        <c:crossAx val="107356928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45</xdr:row>
      <xdr:rowOff>295275</xdr:rowOff>
    </xdr:from>
    <xdr:to>
      <xdr:col>17</xdr:col>
      <xdr:colOff>447676</xdr:colOff>
      <xdr:row>72</xdr:row>
      <xdr:rowOff>9524</xdr:rowOff>
    </xdr:to>
    <xdr:graphicFrame macro="">
      <xdr:nvGraphicFramePr>
        <xdr:cNvPr id="8" name="7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390524</xdr:colOff>
      <xdr:row>153</xdr:row>
      <xdr:rowOff>47624</xdr:rowOff>
    </xdr:from>
    <xdr:to>
      <xdr:col>13</xdr:col>
      <xdr:colOff>495299</xdr:colOff>
      <xdr:row>184</xdr:row>
      <xdr:rowOff>38099</xdr:rowOff>
    </xdr:to>
    <xdr:graphicFrame macro="">
      <xdr:nvGraphicFramePr>
        <xdr:cNvPr id="9" name="8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3"/>
  <sheetViews>
    <sheetView tabSelected="1" workbookViewId="0">
      <selection activeCell="H2" sqref="H2"/>
    </sheetView>
  </sheetViews>
  <sheetFormatPr defaultRowHeight="15"/>
  <cols>
    <col min="1" max="1" width="13.28515625" customWidth="1"/>
    <col min="2" max="2" width="16.5703125" customWidth="1"/>
    <col min="3" max="3" width="15.42578125" customWidth="1"/>
    <col min="4" max="4" width="18.140625" customWidth="1"/>
    <col min="5" max="5" width="13.28515625" customWidth="1"/>
    <col min="6" max="6" width="19.85546875" customWidth="1"/>
    <col min="7" max="7" width="15.140625" customWidth="1"/>
    <col min="8" max="8" width="13" customWidth="1"/>
    <col min="9" max="9" width="13.85546875" customWidth="1"/>
    <col min="10" max="10" width="11" customWidth="1"/>
  </cols>
  <sheetData>
    <row r="1" spans="1:8" ht="21">
      <c r="A1" s="33"/>
    </row>
    <row r="2" spans="1:8" ht="21">
      <c r="A2" s="33"/>
    </row>
    <row r="3" spans="1:8" ht="21">
      <c r="A3" s="33"/>
    </row>
    <row r="4" spans="1:8" ht="21">
      <c r="A4" s="33"/>
    </row>
    <row r="8" spans="1:8" ht="18.75">
      <c r="F8" s="3" t="s">
        <v>4</v>
      </c>
    </row>
    <row r="10" spans="1:8" ht="16.5">
      <c r="B10" s="37" t="s">
        <v>0</v>
      </c>
      <c r="C10" s="37" t="s">
        <v>1</v>
      </c>
      <c r="D10" s="37"/>
    </row>
    <row r="11" spans="1:8" ht="30">
      <c r="B11" s="37"/>
      <c r="C11" s="1" t="s">
        <v>2</v>
      </c>
      <c r="D11" s="1" t="s">
        <v>3</v>
      </c>
      <c r="F11" s="6"/>
      <c r="G11" s="7" t="s">
        <v>2</v>
      </c>
      <c r="H11" s="12" t="s">
        <v>3</v>
      </c>
    </row>
    <row r="12" spans="1:8" ht="15.75">
      <c r="B12" s="2">
        <v>1</v>
      </c>
      <c r="C12" s="2">
        <v>29.3</v>
      </c>
      <c r="D12" s="2">
        <v>762</v>
      </c>
      <c r="F12" s="7" t="s">
        <v>5</v>
      </c>
      <c r="G12" s="9">
        <f>AVERAGE(C12:C41)</f>
        <v>24.756666666666668</v>
      </c>
      <c r="H12" s="9">
        <f>AVERAGE(D12:D41)</f>
        <v>382.46666666666664</v>
      </c>
    </row>
    <row r="13" spans="1:8" ht="15.75">
      <c r="B13" s="2">
        <v>2</v>
      </c>
      <c r="C13" s="5">
        <v>26.7</v>
      </c>
      <c r="D13" s="2">
        <v>330</v>
      </c>
      <c r="F13" s="10" t="s">
        <v>6</v>
      </c>
      <c r="G13" s="9">
        <f>SQRT(VAR(C12:C41))</f>
        <v>6.2834036094731456</v>
      </c>
      <c r="H13" s="9">
        <f>SQRT(VAR(D12:D41))</f>
        <v>199.43017675943341</v>
      </c>
    </row>
    <row r="14" spans="1:8" ht="30">
      <c r="B14" s="2">
        <v>3</v>
      </c>
      <c r="C14" s="4">
        <v>28.1</v>
      </c>
      <c r="D14" s="2">
        <v>219</v>
      </c>
      <c r="F14" s="8" t="s">
        <v>10</v>
      </c>
      <c r="G14" s="9">
        <f>G13/G12</f>
        <v>0.25380652791732106</v>
      </c>
      <c r="H14" s="9">
        <f>H13/H12</f>
        <v>0.52143152368685752</v>
      </c>
    </row>
    <row r="15" spans="1:8" ht="30">
      <c r="B15" s="2">
        <v>4</v>
      </c>
      <c r="C15" s="4">
        <v>26.8</v>
      </c>
      <c r="D15" s="2">
        <v>361</v>
      </c>
      <c r="F15" s="8" t="s">
        <v>7</v>
      </c>
      <c r="G15" s="9">
        <f>SKEW(C12:C41)</f>
        <v>3.1772505202303673E-2</v>
      </c>
      <c r="H15" s="9">
        <f>SKEW(D12:D41)</f>
        <v>0.73637037713153641</v>
      </c>
    </row>
    <row r="16" spans="1:8" ht="30">
      <c r="B16" s="2">
        <v>5</v>
      </c>
      <c r="C16" s="2">
        <v>18.899999999999999</v>
      </c>
      <c r="D16" s="2">
        <v>154</v>
      </c>
      <c r="F16" s="8" t="s">
        <v>11</v>
      </c>
      <c r="G16" s="9">
        <f>KURT(C12:C41)</f>
        <v>-0.60105004601504231</v>
      </c>
      <c r="H16" s="9">
        <f>KURT(D12:D41)</f>
        <v>0.22396468798700786</v>
      </c>
    </row>
    <row r="17" spans="2:8" ht="15.75">
      <c r="B17" s="2">
        <v>6</v>
      </c>
      <c r="C17" s="2">
        <v>19.5</v>
      </c>
      <c r="D17" s="2">
        <v>411</v>
      </c>
      <c r="F17" s="7" t="s">
        <v>8</v>
      </c>
      <c r="G17" s="11">
        <f>MAX(C12:C41)</f>
        <v>36.4</v>
      </c>
      <c r="H17" s="11">
        <f>MAX(D12:D41)</f>
        <v>890</v>
      </c>
    </row>
    <row r="18" spans="2:8" ht="15.75">
      <c r="B18" s="2">
        <v>7</v>
      </c>
      <c r="C18" s="2">
        <v>26.8</v>
      </c>
      <c r="D18" s="2">
        <v>616</v>
      </c>
      <c r="F18" s="7" t="s">
        <v>9</v>
      </c>
      <c r="G18" s="11">
        <f>MIN(C12:C41)</f>
        <v>11.2</v>
      </c>
      <c r="H18" s="11">
        <f>MIN(D12:D41)</f>
        <v>87</v>
      </c>
    </row>
    <row r="19" spans="2:8" ht="15.75">
      <c r="B19" s="2">
        <v>8</v>
      </c>
      <c r="C19" s="2">
        <v>24.2</v>
      </c>
      <c r="D19" s="2">
        <v>356</v>
      </c>
    </row>
    <row r="20" spans="2:8" ht="15.75">
      <c r="B20" s="2">
        <v>9</v>
      </c>
      <c r="C20" s="2">
        <v>31.5</v>
      </c>
      <c r="D20" s="2">
        <v>512</v>
      </c>
    </row>
    <row r="21" spans="2:8" ht="15.75">
      <c r="B21" s="2">
        <v>10</v>
      </c>
      <c r="C21" s="2">
        <v>33.700000000000003</v>
      </c>
      <c r="D21" s="2">
        <v>375</v>
      </c>
    </row>
    <row r="22" spans="2:8" ht="15.75">
      <c r="B22" s="2">
        <v>11</v>
      </c>
      <c r="C22" s="2">
        <v>35.200000000000003</v>
      </c>
      <c r="D22" s="2">
        <v>375</v>
      </c>
    </row>
    <row r="23" spans="2:8" ht="15.75">
      <c r="B23" s="2">
        <v>12</v>
      </c>
      <c r="C23" s="2">
        <v>36.4</v>
      </c>
      <c r="D23" s="2">
        <v>531</v>
      </c>
    </row>
    <row r="24" spans="2:8" ht="15.75">
      <c r="B24" s="2">
        <v>13</v>
      </c>
      <c r="C24" s="2">
        <v>22.7</v>
      </c>
      <c r="D24" s="2">
        <v>426</v>
      </c>
    </row>
    <row r="25" spans="2:8" ht="15.75">
      <c r="B25" s="2">
        <v>14</v>
      </c>
      <c r="C25" s="2">
        <v>32.5</v>
      </c>
      <c r="D25" s="2">
        <v>441</v>
      </c>
    </row>
    <row r="26" spans="2:8" ht="15.75">
      <c r="B26" s="2">
        <v>15</v>
      </c>
      <c r="C26" s="2">
        <v>21.7</v>
      </c>
      <c r="D26" s="2">
        <v>323</v>
      </c>
    </row>
    <row r="27" spans="2:8" ht="15.75">
      <c r="B27" s="2">
        <v>16</v>
      </c>
      <c r="C27" s="2">
        <v>32.299999999999997</v>
      </c>
      <c r="D27" s="2">
        <v>392</v>
      </c>
    </row>
    <row r="28" spans="2:8" ht="15.75">
      <c r="B28" s="2">
        <v>17</v>
      </c>
      <c r="C28" s="2">
        <v>17.8</v>
      </c>
      <c r="D28" s="2">
        <v>191</v>
      </c>
    </row>
    <row r="29" spans="2:8" ht="15.75">
      <c r="B29" s="2">
        <v>18</v>
      </c>
      <c r="C29" s="2">
        <v>16.5</v>
      </c>
      <c r="D29" s="2">
        <v>185</v>
      </c>
    </row>
    <row r="30" spans="2:8" ht="15.75">
      <c r="B30" s="2">
        <v>19</v>
      </c>
      <c r="C30" s="2">
        <v>17.899999999999999</v>
      </c>
      <c r="D30" s="2">
        <v>453</v>
      </c>
    </row>
    <row r="31" spans="2:8" ht="15.75">
      <c r="B31" s="2">
        <v>20</v>
      </c>
      <c r="C31" s="2">
        <v>11.2</v>
      </c>
      <c r="D31" s="2">
        <v>87</v>
      </c>
    </row>
    <row r="32" spans="2:8" ht="15.75">
      <c r="B32" s="2">
        <v>21</v>
      </c>
      <c r="C32" s="2">
        <v>26.2</v>
      </c>
      <c r="D32" s="2">
        <v>712</v>
      </c>
    </row>
    <row r="33" spans="1:6" ht="15.75">
      <c r="B33" s="2">
        <v>22</v>
      </c>
      <c r="C33" s="2">
        <v>24.6</v>
      </c>
      <c r="D33" s="2">
        <v>659</v>
      </c>
    </row>
    <row r="34" spans="1:6" ht="15.75">
      <c r="B34" s="2">
        <v>23</v>
      </c>
      <c r="C34" s="2">
        <v>20.6</v>
      </c>
      <c r="D34" s="2">
        <v>276</v>
      </c>
    </row>
    <row r="35" spans="1:6" ht="15.75">
      <c r="B35" s="2">
        <v>24</v>
      </c>
      <c r="C35" s="2">
        <v>25.7</v>
      </c>
      <c r="D35" s="2">
        <v>194</v>
      </c>
    </row>
    <row r="36" spans="1:6" ht="15.75">
      <c r="B36" s="2">
        <v>25</v>
      </c>
      <c r="C36" s="2">
        <v>21.9</v>
      </c>
      <c r="D36" s="2">
        <v>159</v>
      </c>
    </row>
    <row r="37" spans="1:6" ht="15.75">
      <c r="B37" s="2">
        <v>26</v>
      </c>
      <c r="C37" s="2">
        <v>16.2</v>
      </c>
      <c r="D37" s="2">
        <v>134</v>
      </c>
    </row>
    <row r="38" spans="1:6" ht="15.75">
      <c r="B38" s="2">
        <v>27</v>
      </c>
      <c r="C38" s="2">
        <v>19.8</v>
      </c>
      <c r="D38" s="2">
        <v>156</v>
      </c>
    </row>
    <row r="39" spans="1:6" ht="15.75">
      <c r="B39" s="2">
        <v>28</v>
      </c>
      <c r="C39" s="2">
        <v>24.4</v>
      </c>
      <c r="D39" s="2">
        <v>362</v>
      </c>
    </row>
    <row r="40" spans="1:6" ht="15.75">
      <c r="B40" s="2">
        <v>29</v>
      </c>
      <c r="C40" s="2">
        <v>21.5</v>
      </c>
      <c r="D40" s="2">
        <v>432</v>
      </c>
    </row>
    <row r="41" spans="1:6" ht="15.75">
      <c r="B41" s="2">
        <v>30</v>
      </c>
      <c r="C41" s="2">
        <v>32.1</v>
      </c>
      <c r="D41" s="2">
        <v>890</v>
      </c>
    </row>
    <row r="43" spans="1:6" ht="18.75">
      <c r="F43" s="3" t="s">
        <v>12</v>
      </c>
    </row>
    <row r="45" spans="1:6" ht="18.75">
      <c r="D45" s="27" t="s">
        <v>33</v>
      </c>
    </row>
    <row r="46" spans="1:6" ht="30">
      <c r="A46" s="12" t="s">
        <v>0</v>
      </c>
      <c r="B46" s="12" t="s">
        <v>16</v>
      </c>
      <c r="C46" s="12" t="s">
        <v>20</v>
      </c>
      <c r="D46" s="26" t="s">
        <v>13</v>
      </c>
      <c r="E46" s="12" t="s">
        <v>15</v>
      </c>
      <c r="F46" s="12" t="s">
        <v>17</v>
      </c>
    </row>
    <row r="47" spans="1:6" ht="15.75">
      <c r="A47" s="13">
        <v>1</v>
      </c>
      <c r="B47" s="13">
        <v>29.3</v>
      </c>
      <c r="C47" s="14">
        <f t="shared" ref="C47:C76" si="0">A47/($A$76 +1)</f>
        <v>3.2258064516129031E-2</v>
      </c>
      <c r="D47" s="2">
        <v>36.4</v>
      </c>
      <c r="E47" s="14">
        <f t="shared" ref="E47:E76" si="1">1-C47</f>
        <v>0.967741935483871</v>
      </c>
      <c r="F47" s="9">
        <f>NORMINV(E47,$G$12,$G$13)</f>
        <v>36.372143258295083</v>
      </c>
    </row>
    <row r="48" spans="1:6" ht="15.75">
      <c r="A48" s="13">
        <v>2</v>
      </c>
      <c r="B48" s="13">
        <v>26.7</v>
      </c>
      <c r="C48" s="14">
        <f t="shared" si="0"/>
        <v>6.4516129032258063E-2</v>
      </c>
      <c r="D48" s="2">
        <v>35.200000000000003</v>
      </c>
      <c r="E48" s="14">
        <f t="shared" si="1"/>
        <v>0.93548387096774199</v>
      </c>
      <c r="F48" s="9">
        <f t="shared" ref="F48:F76" si="2">NORMINV(E48,$G$12,$G$13)</f>
        <v>34.2944282269859</v>
      </c>
    </row>
    <row r="49" spans="1:6" ht="15.75">
      <c r="A49" s="13">
        <v>3</v>
      </c>
      <c r="B49" s="13">
        <v>28.1</v>
      </c>
      <c r="C49" s="14">
        <f t="shared" si="0"/>
        <v>9.6774193548387094E-2</v>
      </c>
      <c r="D49" s="2">
        <v>33.700000000000003</v>
      </c>
      <c r="E49" s="14">
        <f t="shared" si="1"/>
        <v>0.90322580645161288</v>
      </c>
      <c r="F49" s="9">
        <f t="shared" si="2"/>
        <v>32.926055442731304</v>
      </c>
    </row>
    <row r="50" spans="1:6" ht="15.75">
      <c r="A50" s="13">
        <v>4</v>
      </c>
      <c r="B50" s="13">
        <v>26.8</v>
      </c>
      <c r="C50" s="14">
        <f t="shared" si="0"/>
        <v>0.12903225806451613</v>
      </c>
      <c r="D50" s="2">
        <v>32.5</v>
      </c>
      <c r="E50" s="14">
        <f t="shared" si="1"/>
        <v>0.87096774193548387</v>
      </c>
      <c r="F50" s="9">
        <f t="shared" si="2"/>
        <v>31.863055452547599</v>
      </c>
    </row>
    <row r="51" spans="1:6" ht="15.75">
      <c r="A51" s="13">
        <v>5</v>
      </c>
      <c r="B51" s="13">
        <v>18.899999999999999</v>
      </c>
      <c r="C51" s="14">
        <f t="shared" si="0"/>
        <v>0.16129032258064516</v>
      </c>
      <c r="D51" s="2">
        <v>32.299999999999997</v>
      </c>
      <c r="E51" s="14">
        <f t="shared" si="1"/>
        <v>0.83870967741935487</v>
      </c>
      <c r="F51" s="9">
        <f t="shared" si="2"/>
        <v>30.972012390076411</v>
      </c>
    </row>
    <row r="52" spans="1:6" ht="15.75">
      <c r="A52" s="13">
        <v>6</v>
      </c>
      <c r="B52" s="13">
        <v>19.5</v>
      </c>
      <c r="C52" s="14">
        <f t="shared" si="0"/>
        <v>0.19354838709677419</v>
      </c>
      <c r="D52" s="2">
        <v>32.1</v>
      </c>
      <c r="E52" s="14">
        <f t="shared" si="1"/>
        <v>0.80645161290322576</v>
      </c>
      <c r="F52" s="9">
        <f t="shared" si="2"/>
        <v>30.191147001842733</v>
      </c>
    </row>
    <row r="53" spans="1:6" ht="15.75">
      <c r="A53" s="13">
        <v>7</v>
      </c>
      <c r="B53" s="13">
        <v>26.8</v>
      </c>
      <c r="C53" s="14">
        <f t="shared" si="0"/>
        <v>0.22580645161290322</v>
      </c>
      <c r="D53" s="2">
        <v>31.5</v>
      </c>
      <c r="E53" s="14">
        <f t="shared" si="1"/>
        <v>0.77419354838709675</v>
      </c>
      <c r="F53" s="9">
        <f t="shared" si="2"/>
        <v>29.48636548946282</v>
      </c>
    </row>
    <row r="54" spans="1:6" ht="15.75">
      <c r="A54" s="13">
        <v>8</v>
      </c>
      <c r="B54" s="13">
        <v>24.2</v>
      </c>
      <c r="C54" s="14">
        <f t="shared" si="0"/>
        <v>0.25806451612903225</v>
      </c>
      <c r="D54" s="2">
        <v>29.3</v>
      </c>
      <c r="E54" s="14">
        <f t="shared" si="1"/>
        <v>0.74193548387096775</v>
      </c>
      <c r="F54" s="9">
        <f t="shared" si="2"/>
        <v>28.836630886499734</v>
      </c>
    </row>
    <row r="55" spans="1:6" ht="15.75">
      <c r="A55" s="13">
        <v>9</v>
      </c>
      <c r="B55" s="13">
        <v>31.5</v>
      </c>
      <c r="C55" s="14">
        <f t="shared" si="0"/>
        <v>0.29032258064516131</v>
      </c>
      <c r="D55" s="4">
        <v>28.1</v>
      </c>
      <c r="E55" s="14">
        <f t="shared" si="1"/>
        <v>0.70967741935483875</v>
      </c>
      <c r="F55" s="9">
        <f t="shared" si="2"/>
        <v>28.227886397062882</v>
      </c>
    </row>
    <row r="56" spans="1:6" ht="15.75">
      <c r="A56" s="13">
        <v>10</v>
      </c>
      <c r="B56" s="13">
        <v>33.700000000000003</v>
      </c>
      <c r="C56" s="14">
        <f t="shared" si="0"/>
        <v>0.32258064516129031</v>
      </c>
      <c r="D56" s="4">
        <v>26.8</v>
      </c>
      <c r="E56" s="14">
        <f t="shared" si="1"/>
        <v>0.67741935483870974</v>
      </c>
      <c r="F56" s="9">
        <f t="shared" si="2"/>
        <v>27.650139715809861</v>
      </c>
    </row>
    <row r="57" spans="1:6" ht="15.75">
      <c r="A57" s="13">
        <v>11</v>
      </c>
      <c r="B57" s="13">
        <v>35.200000000000003</v>
      </c>
      <c r="C57" s="14">
        <f t="shared" si="0"/>
        <v>0.35483870967741937</v>
      </c>
      <c r="D57" s="2">
        <v>26.8</v>
      </c>
      <c r="E57" s="14">
        <f t="shared" si="1"/>
        <v>0.64516129032258063</v>
      </c>
      <c r="F57" s="9">
        <f t="shared" si="2"/>
        <v>27.095910977982097</v>
      </c>
    </row>
    <row r="58" spans="1:6" ht="15.75">
      <c r="A58" s="13">
        <v>12</v>
      </c>
      <c r="B58" s="13">
        <v>36.4</v>
      </c>
      <c r="C58" s="14">
        <f t="shared" si="0"/>
        <v>0.38709677419354838</v>
      </c>
      <c r="D58" s="5">
        <v>26.7</v>
      </c>
      <c r="E58" s="14">
        <f t="shared" si="1"/>
        <v>0.61290322580645162</v>
      </c>
      <c r="F58" s="9">
        <f t="shared" si="2"/>
        <v>26.559336939796779</v>
      </c>
    </row>
    <row r="59" spans="1:6" ht="15.75">
      <c r="A59" s="13">
        <v>13</v>
      </c>
      <c r="B59" s="13">
        <v>22.7</v>
      </c>
      <c r="C59" s="14">
        <f t="shared" si="0"/>
        <v>0.41935483870967744</v>
      </c>
      <c r="D59" s="2">
        <v>26.2</v>
      </c>
      <c r="E59" s="14">
        <f t="shared" si="1"/>
        <v>0.58064516129032251</v>
      </c>
      <c r="F59" s="9">
        <f t="shared" si="2"/>
        <v>26.035617225765328</v>
      </c>
    </row>
    <row r="60" spans="1:6" ht="15.75">
      <c r="A60" s="13">
        <v>14</v>
      </c>
      <c r="B60" s="13">
        <v>32.5</v>
      </c>
      <c r="C60" s="14">
        <f t="shared" si="0"/>
        <v>0.45161290322580644</v>
      </c>
      <c r="D60" s="2">
        <v>25.7</v>
      </c>
      <c r="E60" s="14">
        <f t="shared" si="1"/>
        <v>0.54838709677419351</v>
      </c>
      <c r="F60" s="9">
        <f t="shared" si="2"/>
        <v>25.520649266307444</v>
      </c>
    </row>
    <row r="61" spans="1:6" ht="15.75">
      <c r="A61" s="13">
        <v>15</v>
      </c>
      <c r="B61" s="13">
        <v>21.7</v>
      </c>
      <c r="C61" s="14">
        <f t="shared" si="0"/>
        <v>0.4838709677419355</v>
      </c>
      <c r="D61" s="2">
        <v>24.6</v>
      </c>
      <c r="E61" s="14">
        <f t="shared" si="1"/>
        <v>0.5161290322580645</v>
      </c>
      <c r="F61" s="9">
        <f t="shared" si="2"/>
        <v>25.010770704156979</v>
      </c>
    </row>
    <row r="62" spans="1:6" ht="15.75">
      <c r="A62" s="13">
        <v>16</v>
      </c>
      <c r="B62" s="13">
        <v>32.299999999999997</v>
      </c>
      <c r="C62" s="14">
        <f t="shared" si="0"/>
        <v>0.5161290322580645</v>
      </c>
      <c r="D62" s="2">
        <v>24.4</v>
      </c>
      <c r="E62" s="14">
        <f t="shared" si="1"/>
        <v>0.4838709677419355</v>
      </c>
      <c r="F62" s="9">
        <f t="shared" si="2"/>
        <v>24.502562629176357</v>
      </c>
    </row>
    <row r="63" spans="1:6" ht="15.75">
      <c r="A63" s="13">
        <v>17</v>
      </c>
      <c r="B63" s="13">
        <v>17.8</v>
      </c>
      <c r="C63" s="14">
        <f t="shared" si="0"/>
        <v>0.54838709677419351</v>
      </c>
      <c r="D63" s="2">
        <v>24.2</v>
      </c>
      <c r="E63" s="14">
        <f t="shared" si="1"/>
        <v>0.45161290322580649</v>
      </c>
      <c r="F63" s="9">
        <f t="shared" si="2"/>
        <v>23.992684067025891</v>
      </c>
    </row>
    <row r="64" spans="1:6" ht="15.75">
      <c r="A64" s="13">
        <v>18</v>
      </c>
      <c r="B64" s="13">
        <v>16.5</v>
      </c>
      <c r="C64" s="14">
        <f t="shared" si="0"/>
        <v>0.58064516129032262</v>
      </c>
      <c r="D64" s="2">
        <v>22.7</v>
      </c>
      <c r="E64" s="14">
        <f t="shared" si="1"/>
        <v>0.41935483870967738</v>
      </c>
      <c r="F64" s="9">
        <f t="shared" si="2"/>
        <v>23.477716107568003</v>
      </c>
    </row>
    <row r="65" spans="1:6" ht="15.75">
      <c r="A65" s="13">
        <v>19</v>
      </c>
      <c r="B65" s="13">
        <v>17.899999999999999</v>
      </c>
      <c r="C65" s="14">
        <f t="shared" si="0"/>
        <v>0.61290322580645162</v>
      </c>
      <c r="D65" s="2">
        <v>21.9</v>
      </c>
      <c r="E65" s="14">
        <f t="shared" si="1"/>
        <v>0.38709677419354838</v>
      </c>
      <c r="F65" s="9">
        <f t="shared" si="2"/>
        <v>22.953996393536553</v>
      </c>
    </row>
    <row r="66" spans="1:6" ht="15.75">
      <c r="A66" s="13">
        <v>20</v>
      </c>
      <c r="B66" s="13">
        <v>11.2</v>
      </c>
      <c r="C66" s="14">
        <f t="shared" si="0"/>
        <v>0.64516129032258063</v>
      </c>
      <c r="D66" s="2">
        <v>21.7</v>
      </c>
      <c r="E66" s="14">
        <f t="shared" si="1"/>
        <v>0.35483870967741937</v>
      </c>
      <c r="F66" s="9">
        <f t="shared" si="2"/>
        <v>22.417422355351235</v>
      </c>
    </row>
    <row r="67" spans="1:6" ht="15.75">
      <c r="A67" s="13">
        <v>21</v>
      </c>
      <c r="B67" s="13">
        <v>26.2</v>
      </c>
      <c r="C67" s="14">
        <f t="shared" si="0"/>
        <v>0.67741935483870963</v>
      </c>
      <c r="D67" s="2">
        <v>21.5</v>
      </c>
      <c r="E67" s="14">
        <f t="shared" si="1"/>
        <v>0.32258064516129037</v>
      </c>
      <c r="F67" s="9">
        <f t="shared" si="2"/>
        <v>21.863193617523475</v>
      </c>
    </row>
    <row r="68" spans="1:6" ht="15.75">
      <c r="A68" s="13">
        <v>22</v>
      </c>
      <c r="B68" s="13">
        <v>24.6</v>
      </c>
      <c r="C68" s="14">
        <f t="shared" si="0"/>
        <v>0.70967741935483875</v>
      </c>
      <c r="D68" s="2">
        <v>20.6</v>
      </c>
      <c r="E68" s="14">
        <f t="shared" si="1"/>
        <v>0.29032258064516125</v>
      </c>
      <c r="F68" s="9">
        <f t="shared" si="2"/>
        <v>21.28544693627045</v>
      </c>
    </row>
    <row r="69" spans="1:6" ht="15.75">
      <c r="A69" s="13">
        <v>23</v>
      </c>
      <c r="B69" s="13">
        <v>20.6</v>
      </c>
      <c r="C69" s="14">
        <f t="shared" si="0"/>
        <v>0.74193548387096775</v>
      </c>
      <c r="D69" s="2">
        <v>19.8</v>
      </c>
      <c r="E69" s="14">
        <f t="shared" si="1"/>
        <v>0.25806451612903225</v>
      </c>
      <c r="F69" s="9">
        <f t="shared" si="2"/>
        <v>20.676702446833602</v>
      </c>
    </row>
    <row r="70" spans="1:6" ht="15.75">
      <c r="A70" s="13">
        <v>24</v>
      </c>
      <c r="B70" s="13">
        <v>25.7</v>
      </c>
      <c r="C70" s="14">
        <f t="shared" si="0"/>
        <v>0.77419354838709675</v>
      </c>
      <c r="D70" s="2">
        <v>19.5</v>
      </c>
      <c r="E70" s="14">
        <f t="shared" si="1"/>
        <v>0.22580645161290325</v>
      </c>
      <c r="F70" s="9">
        <f t="shared" si="2"/>
        <v>20.026967843870512</v>
      </c>
    </row>
    <row r="71" spans="1:6" ht="15.75">
      <c r="A71" s="13">
        <v>25</v>
      </c>
      <c r="B71" s="13">
        <v>21.9</v>
      </c>
      <c r="C71" s="14">
        <f t="shared" si="0"/>
        <v>0.80645161290322576</v>
      </c>
      <c r="D71" s="2">
        <v>18.899999999999999</v>
      </c>
      <c r="E71" s="14">
        <f t="shared" si="1"/>
        <v>0.19354838709677424</v>
      </c>
      <c r="F71" s="9">
        <f t="shared" si="2"/>
        <v>19.322186331490599</v>
      </c>
    </row>
    <row r="72" spans="1:6" ht="15.75">
      <c r="A72" s="13">
        <v>26</v>
      </c>
      <c r="B72" s="13">
        <v>16.2</v>
      </c>
      <c r="C72" s="14">
        <f t="shared" si="0"/>
        <v>0.83870967741935487</v>
      </c>
      <c r="D72" s="2">
        <v>17.899999999999999</v>
      </c>
      <c r="E72" s="14">
        <f t="shared" si="1"/>
        <v>0.16129032258064513</v>
      </c>
      <c r="F72" s="9">
        <f t="shared" si="2"/>
        <v>18.541320943256924</v>
      </c>
    </row>
    <row r="73" spans="1:6" ht="15.75">
      <c r="A73" s="13">
        <v>27</v>
      </c>
      <c r="B73" s="13">
        <v>19.8</v>
      </c>
      <c r="C73" s="14">
        <f t="shared" si="0"/>
        <v>0.87096774193548387</v>
      </c>
      <c r="D73" s="2">
        <v>17.8</v>
      </c>
      <c r="E73" s="14">
        <f t="shared" si="1"/>
        <v>0.12903225806451613</v>
      </c>
      <c r="F73" s="9">
        <f t="shared" si="2"/>
        <v>17.650277880785733</v>
      </c>
    </row>
    <row r="74" spans="1:6" ht="15.75">
      <c r="A74" s="13">
        <v>28</v>
      </c>
      <c r="B74" s="13">
        <v>24.4</v>
      </c>
      <c r="C74" s="14">
        <f t="shared" si="0"/>
        <v>0.90322580645161288</v>
      </c>
      <c r="D74" s="2">
        <v>16.5</v>
      </c>
      <c r="E74" s="14">
        <f t="shared" si="1"/>
        <v>9.6774193548387122E-2</v>
      </c>
      <c r="F74" s="9">
        <f t="shared" si="2"/>
        <v>16.587277890602032</v>
      </c>
    </row>
    <row r="75" spans="1:6" ht="15.75">
      <c r="A75" s="13">
        <v>29</v>
      </c>
      <c r="B75" s="13">
        <v>21.5</v>
      </c>
      <c r="C75" s="14">
        <f t="shared" si="0"/>
        <v>0.93548387096774188</v>
      </c>
      <c r="D75" s="2">
        <v>16.2</v>
      </c>
      <c r="E75" s="14">
        <f t="shared" si="1"/>
        <v>6.4516129032258118E-2</v>
      </c>
      <c r="F75" s="9">
        <f t="shared" si="2"/>
        <v>15.218905106347439</v>
      </c>
    </row>
    <row r="76" spans="1:6" ht="15.75">
      <c r="A76" s="13">
        <v>30</v>
      </c>
      <c r="B76" s="13">
        <v>32.1</v>
      </c>
      <c r="C76" s="14">
        <f t="shared" si="0"/>
        <v>0.967741935483871</v>
      </c>
      <c r="D76" s="2">
        <v>11.2</v>
      </c>
      <c r="E76" s="14">
        <f t="shared" si="1"/>
        <v>3.2258064516129004E-2</v>
      </c>
      <c r="F76" s="9">
        <f t="shared" si="2"/>
        <v>13.141190075038251</v>
      </c>
    </row>
    <row r="79" spans="1:6" ht="18.75">
      <c r="F79" s="3" t="s">
        <v>18</v>
      </c>
    </row>
    <row r="81" spans="1:6">
      <c r="A81" s="17" t="s">
        <v>22</v>
      </c>
      <c r="B81" s="9">
        <f>1.282/$H$13</f>
        <v>6.4283150164703403E-3</v>
      </c>
    </row>
    <row r="82" spans="1:6">
      <c r="A82" s="17" t="s">
        <v>23</v>
      </c>
      <c r="B82" s="16">
        <f>H12-0.45*H13</f>
        <v>292.72308712492162</v>
      </c>
    </row>
    <row r="83" spans="1:6" ht="21">
      <c r="D83" s="28" t="s">
        <v>21</v>
      </c>
    </row>
    <row r="84" spans="1:6" ht="45">
      <c r="A84" s="12" t="s">
        <v>0</v>
      </c>
      <c r="B84" s="15" t="s">
        <v>19</v>
      </c>
      <c r="C84" s="12" t="s">
        <v>20</v>
      </c>
      <c r="D84" s="12" t="s">
        <v>13</v>
      </c>
      <c r="E84" s="18" t="s">
        <v>14</v>
      </c>
      <c r="F84" s="18" t="s">
        <v>24</v>
      </c>
    </row>
    <row r="85" spans="1:6" ht="15.75">
      <c r="A85" s="13">
        <v>1</v>
      </c>
      <c r="B85" s="2">
        <v>762</v>
      </c>
      <c r="C85" s="14">
        <v>3.2258064516129031E-2</v>
      </c>
      <c r="D85" s="2">
        <v>890</v>
      </c>
      <c r="E85" s="14">
        <f>1-C85</f>
        <v>0.967741935483871</v>
      </c>
      <c r="F85" s="9">
        <f>$B$82-LN(-LN(E85))/$B$81</f>
        <v>824.37672929540031</v>
      </c>
    </row>
    <row r="86" spans="1:6" ht="15.75">
      <c r="A86" s="13">
        <v>2</v>
      </c>
      <c r="B86" s="2">
        <v>330</v>
      </c>
      <c r="C86" s="14">
        <v>6.4516129032258063E-2</v>
      </c>
      <c r="D86" s="2">
        <v>762</v>
      </c>
      <c r="E86" s="14">
        <f t="shared" ref="E86:E114" si="3">1-C86</f>
        <v>0.93548387096774199</v>
      </c>
      <c r="F86" s="9">
        <f t="shared" ref="F86:F114" si="4">$B$82-LN(-LN(E86))/$B$81</f>
        <v>713.93450027849713</v>
      </c>
    </row>
    <row r="87" spans="1:6" ht="15.75">
      <c r="A87" s="13">
        <v>3</v>
      </c>
      <c r="B87" s="2">
        <v>219</v>
      </c>
      <c r="C87" s="14">
        <v>9.6774193548387094E-2</v>
      </c>
      <c r="D87" s="2">
        <v>712</v>
      </c>
      <c r="E87" s="14">
        <f t="shared" si="3"/>
        <v>0.90322580645161288</v>
      </c>
      <c r="F87" s="9">
        <f t="shared" si="4"/>
        <v>648.16851573535951</v>
      </c>
    </row>
    <row r="88" spans="1:6" ht="15.75">
      <c r="A88" s="13">
        <v>4</v>
      </c>
      <c r="B88" s="2">
        <v>361</v>
      </c>
      <c r="C88" s="14">
        <v>0.12903225806451613</v>
      </c>
      <c r="D88" s="2">
        <v>659</v>
      </c>
      <c r="E88" s="14">
        <f t="shared" si="3"/>
        <v>0.87096774193548387</v>
      </c>
      <c r="F88" s="9">
        <f t="shared" si="4"/>
        <v>600.64402324080174</v>
      </c>
    </row>
    <row r="89" spans="1:6" ht="15.75">
      <c r="A89" s="13">
        <v>5</v>
      </c>
      <c r="B89" s="2">
        <v>154</v>
      </c>
      <c r="C89" s="14">
        <v>0.16129032258064516</v>
      </c>
      <c r="D89" s="2">
        <v>616</v>
      </c>
      <c r="E89" s="14">
        <f t="shared" si="3"/>
        <v>0.83870967741935487</v>
      </c>
      <c r="F89" s="9">
        <f t="shared" si="4"/>
        <v>563.07273330728572</v>
      </c>
    </row>
    <row r="90" spans="1:6" ht="15.75">
      <c r="A90" s="13">
        <v>6</v>
      </c>
      <c r="B90" s="2">
        <v>411</v>
      </c>
      <c r="C90" s="14">
        <v>0.19354838709677419</v>
      </c>
      <c r="D90" s="2">
        <v>531</v>
      </c>
      <c r="E90" s="14">
        <f t="shared" si="3"/>
        <v>0.80645161290322576</v>
      </c>
      <c r="F90" s="9">
        <f t="shared" si="4"/>
        <v>531.75918543782871</v>
      </c>
    </row>
    <row r="91" spans="1:6" ht="15.75">
      <c r="A91" s="13">
        <v>7</v>
      </c>
      <c r="B91" s="2">
        <v>616</v>
      </c>
      <c r="C91" s="14">
        <v>0.22580645161290322</v>
      </c>
      <c r="D91" s="2">
        <v>512</v>
      </c>
      <c r="E91" s="14">
        <f t="shared" si="3"/>
        <v>0.77419354838709675</v>
      </c>
      <c r="F91" s="9">
        <f t="shared" si="4"/>
        <v>504.72858501358053</v>
      </c>
    </row>
    <row r="92" spans="1:6" ht="15.75">
      <c r="A92" s="13">
        <v>8</v>
      </c>
      <c r="B92" s="2">
        <v>356</v>
      </c>
      <c r="C92" s="14">
        <v>0.25806451612903225</v>
      </c>
      <c r="D92" s="2">
        <v>453</v>
      </c>
      <c r="E92" s="14">
        <f t="shared" si="3"/>
        <v>0.74193548387096775</v>
      </c>
      <c r="F92" s="9">
        <f t="shared" si="4"/>
        <v>480.79862982192947</v>
      </c>
    </row>
    <row r="93" spans="1:6" ht="15.75">
      <c r="A93" s="13">
        <v>9</v>
      </c>
      <c r="B93" s="2">
        <v>512</v>
      </c>
      <c r="C93" s="14">
        <v>0.29032258064516131</v>
      </c>
      <c r="D93" s="2">
        <v>441</v>
      </c>
      <c r="E93" s="14">
        <f t="shared" si="3"/>
        <v>0.70967741935483875</v>
      </c>
      <c r="F93" s="9">
        <f t="shared" si="4"/>
        <v>459.20309276873917</v>
      </c>
    </row>
    <row r="94" spans="1:6" ht="15.75">
      <c r="A94" s="13">
        <v>10</v>
      </c>
      <c r="B94" s="2">
        <v>375</v>
      </c>
      <c r="C94" s="14">
        <v>0.32258064516129031</v>
      </c>
      <c r="D94" s="2">
        <v>432</v>
      </c>
      <c r="E94" s="14">
        <f t="shared" si="3"/>
        <v>0.67741935483870974</v>
      </c>
      <c r="F94" s="9">
        <f t="shared" si="4"/>
        <v>439.41500762892679</v>
      </c>
    </row>
    <row r="95" spans="1:6" ht="15.75">
      <c r="A95" s="13">
        <v>11</v>
      </c>
      <c r="B95" s="2">
        <v>375</v>
      </c>
      <c r="C95" s="14">
        <v>0.35483870967741937</v>
      </c>
      <c r="D95" s="2">
        <v>426</v>
      </c>
      <c r="E95" s="14">
        <f t="shared" si="3"/>
        <v>0.64516129032258063</v>
      </c>
      <c r="F95" s="9">
        <f t="shared" si="4"/>
        <v>421.05446194379391</v>
      </c>
    </row>
    <row r="96" spans="1:6" ht="15.75">
      <c r="A96" s="13">
        <v>12</v>
      </c>
      <c r="B96" s="2">
        <v>531</v>
      </c>
      <c r="C96" s="14">
        <v>0.38709677419354838</v>
      </c>
      <c r="D96" s="2">
        <v>411</v>
      </c>
      <c r="E96" s="14">
        <f t="shared" si="3"/>
        <v>0.61290322580645162</v>
      </c>
      <c r="F96" s="9">
        <f t="shared" si="4"/>
        <v>403.83654383734307</v>
      </c>
    </row>
    <row r="97" spans="1:6" ht="15.75">
      <c r="A97" s="13">
        <v>13</v>
      </c>
      <c r="B97" s="2">
        <v>426</v>
      </c>
      <c r="C97" s="14">
        <v>0.41935483870967744</v>
      </c>
      <c r="D97" s="2">
        <v>392</v>
      </c>
      <c r="E97" s="14">
        <f t="shared" si="3"/>
        <v>0.58064516129032251</v>
      </c>
      <c r="F97" s="9">
        <f t="shared" si="4"/>
        <v>387.54003063010202</v>
      </c>
    </row>
    <row r="98" spans="1:6" ht="15.75">
      <c r="A98" s="13">
        <v>14</v>
      </c>
      <c r="B98" s="2">
        <v>441</v>
      </c>
      <c r="C98" s="14">
        <v>0.45161290322580644</v>
      </c>
      <c r="D98" s="2">
        <v>375</v>
      </c>
      <c r="E98" s="14">
        <f t="shared" si="3"/>
        <v>0.54838709677419351</v>
      </c>
      <c r="F98" s="9">
        <f t="shared" si="4"/>
        <v>371.98751117918664</v>
      </c>
    </row>
    <row r="99" spans="1:6" ht="15.75">
      <c r="A99" s="13">
        <v>15</v>
      </c>
      <c r="B99" s="2">
        <v>323</v>
      </c>
      <c r="C99" s="14">
        <v>0.4838709677419355</v>
      </c>
      <c r="D99" s="2">
        <v>375</v>
      </c>
      <c r="E99" s="14">
        <f t="shared" si="3"/>
        <v>0.5161290322580645</v>
      </c>
      <c r="F99" s="9">
        <f t="shared" si="4"/>
        <v>357.03212800708855</v>
      </c>
    </row>
    <row r="100" spans="1:6" ht="15.75">
      <c r="A100" s="13">
        <v>16</v>
      </c>
      <c r="B100" s="2">
        <v>392</v>
      </c>
      <c r="C100" s="14">
        <v>0.5161290322580645</v>
      </c>
      <c r="D100" s="2">
        <v>362</v>
      </c>
      <c r="E100" s="14">
        <f t="shared" si="3"/>
        <v>0.4838709677419355</v>
      </c>
      <c r="F100" s="9">
        <f t="shared" si="4"/>
        <v>342.54828071008984</v>
      </c>
    </row>
    <row r="101" spans="1:6" ht="15.75">
      <c r="A101" s="13">
        <v>17</v>
      </c>
      <c r="B101" s="2">
        <v>191</v>
      </c>
      <c r="C101" s="14">
        <v>0.54838709677419351</v>
      </c>
      <c r="D101" s="2">
        <v>361</v>
      </c>
      <c r="E101" s="14">
        <f t="shared" si="3"/>
        <v>0.45161290322580649</v>
      </c>
      <c r="F101" s="9">
        <f t="shared" si="4"/>
        <v>328.42472516555114</v>
      </c>
    </row>
    <row r="102" spans="1:6" ht="15.75">
      <c r="A102" s="13">
        <v>18</v>
      </c>
      <c r="B102" s="2">
        <v>185</v>
      </c>
      <c r="C102" s="14">
        <v>0.58064516129032262</v>
      </c>
      <c r="D102" s="2">
        <v>356</v>
      </c>
      <c r="E102" s="14">
        <f t="shared" si="3"/>
        <v>0.41935483870967738</v>
      </c>
      <c r="F102" s="9">
        <f t="shared" si="4"/>
        <v>314.55907399228488</v>
      </c>
    </row>
    <row r="103" spans="1:6" ht="15.75">
      <c r="A103" s="13">
        <v>19</v>
      </c>
      <c r="B103" s="2">
        <v>453</v>
      </c>
      <c r="C103" s="14">
        <v>0.61290322580645162</v>
      </c>
      <c r="D103" s="2">
        <v>330</v>
      </c>
      <c r="E103" s="14">
        <f t="shared" si="3"/>
        <v>0.38709677419354838</v>
      </c>
      <c r="F103" s="9">
        <f t="shared" si="4"/>
        <v>300.85299365118016</v>
      </c>
    </row>
    <row r="104" spans="1:6" ht="15.75">
      <c r="A104" s="13">
        <v>20</v>
      </c>
      <c r="B104" s="2">
        <v>87</v>
      </c>
      <c r="C104" s="14">
        <v>0.64516129032258063</v>
      </c>
      <c r="D104" s="2">
        <v>323</v>
      </c>
      <c r="E104" s="14">
        <f t="shared" si="3"/>
        <v>0.35483870967741937</v>
      </c>
      <c r="F104" s="9">
        <f t="shared" si="4"/>
        <v>287.20750847656086</v>
      </c>
    </row>
    <row r="105" spans="1:6" ht="15.75">
      <c r="A105" s="13">
        <v>21</v>
      </c>
      <c r="B105" s="2">
        <v>712</v>
      </c>
      <c r="C105" s="14">
        <v>0.67741935483870963</v>
      </c>
      <c r="D105" s="2">
        <v>276</v>
      </c>
      <c r="E105" s="14">
        <f t="shared" si="3"/>
        <v>0.32258064516129037</v>
      </c>
      <c r="F105" s="9">
        <f t="shared" si="4"/>
        <v>273.51779462247447</v>
      </c>
    </row>
    <row r="106" spans="1:6" ht="15.75">
      <c r="A106" s="13">
        <v>22</v>
      </c>
      <c r="B106" s="2">
        <v>659</v>
      </c>
      <c r="C106" s="14">
        <v>0.70967741935483875</v>
      </c>
      <c r="D106" s="2">
        <v>219</v>
      </c>
      <c r="E106" s="14">
        <f t="shared" si="3"/>
        <v>0.29032258064516125</v>
      </c>
      <c r="F106" s="9">
        <f t="shared" si="4"/>
        <v>259.66665157786724</v>
      </c>
    </row>
    <row r="107" spans="1:6" ht="15.75">
      <c r="A107" s="13">
        <v>23</v>
      </c>
      <c r="B107" s="2">
        <v>276</v>
      </c>
      <c r="C107" s="14">
        <v>0.74193548387096775</v>
      </c>
      <c r="D107" s="2">
        <v>194</v>
      </c>
      <c r="E107" s="14">
        <f t="shared" si="3"/>
        <v>0.25806451612903225</v>
      </c>
      <c r="F107" s="9">
        <f t="shared" si="4"/>
        <v>245.51536735319439</v>
      </c>
    </row>
    <row r="108" spans="1:6" ht="15.75">
      <c r="A108" s="13">
        <v>24</v>
      </c>
      <c r="B108" s="2">
        <v>194</v>
      </c>
      <c r="C108" s="14">
        <v>0.77419354838709675</v>
      </c>
      <c r="D108" s="2">
        <v>191</v>
      </c>
      <c r="E108" s="14">
        <f t="shared" si="3"/>
        <v>0.22580645161290325</v>
      </c>
      <c r="F108" s="9">
        <f t="shared" si="4"/>
        <v>230.88966442943018</v>
      </c>
    </row>
    <row r="109" spans="1:6" ht="15.75">
      <c r="A109" s="13">
        <v>25</v>
      </c>
      <c r="B109" s="2">
        <v>159</v>
      </c>
      <c r="C109" s="14">
        <v>0.80645161290322576</v>
      </c>
      <c r="D109" s="2">
        <v>185</v>
      </c>
      <c r="E109" s="14">
        <f t="shared" si="3"/>
        <v>0.19354838709677424</v>
      </c>
      <c r="F109" s="9">
        <f t="shared" si="4"/>
        <v>215.55610106947731</v>
      </c>
    </row>
    <row r="110" spans="1:6" ht="15.75">
      <c r="A110" s="13">
        <v>26</v>
      </c>
      <c r="B110" s="2">
        <v>134</v>
      </c>
      <c r="C110" s="14">
        <v>0.83870967741935487</v>
      </c>
      <c r="D110" s="2">
        <v>159</v>
      </c>
      <c r="E110" s="14">
        <f t="shared" si="3"/>
        <v>0.16129032258064513</v>
      </c>
      <c r="F110" s="9">
        <f t="shared" si="4"/>
        <v>199.17866813898237</v>
      </c>
    </row>
    <row r="111" spans="1:6" ht="15.75">
      <c r="A111" s="13">
        <v>27</v>
      </c>
      <c r="B111" s="2">
        <v>156</v>
      </c>
      <c r="C111" s="14">
        <v>0.87096774193548387</v>
      </c>
      <c r="D111" s="2">
        <v>156</v>
      </c>
      <c r="E111" s="14">
        <f t="shared" si="3"/>
        <v>0.12903225806451613</v>
      </c>
      <c r="F111" s="9">
        <f t="shared" si="4"/>
        <v>181.22983963045036</v>
      </c>
    </row>
    <row r="112" spans="1:6" ht="15.75">
      <c r="A112" s="13">
        <v>28</v>
      </c>
      <c r="B112" s="2">
        <v>362</v>
      </c>
      <c r="C112" s="14">
        <v>0.90322580645161288</v>
      </c>
      <c r="D112" s="2">
        <v>154</v>
      </c>
      <c r="E112" s="14">
        <f t="shared" si="3"/>
        <v>9.6774193548387122E-2</v>
      </c>
      <c r="F112" s="9">
        <f t="shared" si="4"/>
        <v>160.77988901191029</v>
      </c>
    </row>
    <row r="113" spans="1:11" ht="15.75">
      <c r="A113" s="13">
        <v>29</v>
      </c>
      <c r="B113" s="2">
        <v>432</v>
      </c>
      <c r="C113" s="14">
        <v>0.93548387096774188</v>
      </c>
      <c r="D113" s="2">
        <v>134</v>
      </c>
      <c r="E113" s="14">
        <f t="shared" si="3"/>
        <v>6.4516129032258118E-2</v>
      </c>
      <c r="F113" s="9">
        <f t="shared" si="4"/>
        <v>135.87569416018911</v>
      </c>
    </row>
    <row r="114" spans="1:11" ht="15.75">
      <c r="A114" s="13">
        <v>30</v>
      </c>
      <c r="B114" s="2">
        <v>890</v>
      </c>
      <c r="C114" s="14">
        <v>0.967741935483871</v>
      </c>
      <c r="D114" s="2">
        <v>87</v>
      </c>
      <c r="E114" s="14">
        <f t="shared" si="3"/>
        <v>3.2258064516129004E-2</v>
      </c>
      <c r="F114" s="9">
        <f t="shared" si="4"/>
        <v>100.80311537775495</v>
      </c>
    </row>
    <row r="121" spans="1:11" ht="21">
      <c r="D121" s="25" t="s">
        <v>25</v>
      </c>
    </row>
    <row r="122" spans="1:11" ht="45">
      <c r="A122" s="12" t="s">
        <v>0</v>
      </c>
      <c r="B122" s="15" t="s">
        <v>19</v>
      </c>
      <c r="C122" s="17" t="s">
        <v>26</v>
      </c>
      <c r="D122" s="12" t="s">
        <v>20</v>
      </c>
      <c r="E122" s="12" t="s">
        <v>13</v>
      </c>
      <c r="F122" s="18" t="s">
        <v>14</v>
      </c>
      <c r="G122" s="18" t="s">
        <v>29</v>
      </c>
      <c r="H122" s="18" t="s">
        <v>30</v>
      </c>
      <c r="J122" s="38" t="s">
        <v>28</v>
      </c>
      <c r="K122" s="39"/>
    </row>
    <row r="123" spans="1:11">
      <c r="A123" s="13">
        <v>1</v>
      </c>
      <c r="B123" s="13">
        <v>762</v>
      </c>
      <c r="C123" s="9">
        <f t="shared" ref="C123:C152" si="5">LN($B123)</f>
        <v>6.6359465556866466</v>
      </c>
      <c r="D123" s="14">
        <f t="shared" ref="D123:D152" si="6">$A123/($A$152+1)</f>
        <v>3.2258064516129031E-2</v>
      </c>
      <c r="E123" s="9">
        <v>6.7912214627261855</v>
      </c>
      <c r="F123" s="14">
        <f t="shared" ref="F123:F152" si="7">1-$D123</f>
        <v>0.967741935483871</v>
      </c>
      <c r="G123" s="9">
        <f t="shared" ref="G123:G152" si="8">NORMINV(F123,$K$123,$K$124)</f>
        <v>6.8556075077525769</v>
      </c>
      <c r="H123" s="16">
        <f>EXP($G123)</f>
        <v>949.18859371340091</v>
      </c>
      <c r="J123" s="12" t="s">
        <v>5</v>
      </c>
      <c r="K123" s="20">
        <f>AVERAGE(C123:C152)</f>
        <v>5.803181024423929</v>
      </c>
    </row>
    <row r="124" spans="1:11" ht="30">
      <c r="A124" s="13">
        <v>2</v>
      </c>
      <c r="B124" s="13">
        <v>330</v>
      </c>
      <c r="C124" s="9">
        <f t="shared" si="5"/>
        <v>5.7990926544605257</v>
      </c>
      <c r="D124" s="14">
        <f t="shared" si="6"/>
        <v>6.4516129032258063E-2</v>
      </c>
      <c r="E124" s="9">
        <v>6.6359465556866466</v>
      </c>
      <c r="F124" s="14">
        <f t="shared" si="7"/>
        <v>0.93548387096774199</v>
      </c>
      <c r="G124" s="9">
        <f t="shared" si="8"/>
        <v>6.66735502353374</v>
      </c>
      <c r="H124" s="16">
        <f t="shared" ref="H124:H152" si="9">EXP($G124)</f>
        <v>786.31307198152638</v>
      </c>
      <c r="J124" s="12" t="s">
        <v>6</v>
      </c>
      <c r="K124" s="20">
        <f>SQRT(VAR(C123:C152))</f>
        <v>0.56931115239975527</v>
      </c>
    </row>
    <row r="125" spans="1:11">
      <c r="A125" s="13">
        <v>3</v>
      </c>
      <c r="B125" s="13">
        <v>219</v>
      </c>
      <c r="C125" s="9">
        <f t="shared" si="5"/>
        <v>5.389071729816501</v>
      </c>
      <c r="D125" s="14">
        <f t="shared" si="6"/>
        <v>9.6774193548387094E-2</v>
      </c>
      <c r="E125" s="9">
        <v>6.5680779114119758</v>
      </c>
      <c r="F125" s="14">
        <f t="shared" si="7"/>
        <v>0.90322580645161288</v>
      </c>
      <c r="G125" s="9">
        <f t="shared" si="8"/>
        <v>6.5433728738685577</v>
      </c>
      <c r="H125" s="16">
        <f t="shared" si="9"/>
        <v>694.62551559842893</v>
      </c>
    </row>
    <row r="126" spans="1:11">
      <c r="A126" s="13">
        <v>4</v>
      </c>
      <c r="B126" s="13">
        <v>361</v>
      </c>
      <c r="C126" s="9">
        <f t="shared" si="5"/>
        <v>5.8888779583328805</v>
      </c>
      <c r="D126" s="14">
        <f t="shared" si="6"/>
        <v>0.12903225806451613</v>
      </c>
      <c r="E126" s="9">
        <v>6.4907235345025072</v>
      </c>
      <c r="F126" s="14">
        <f t="shared" si="7"/>
        <v>0.87096774193548387</v>
      </c>
      <c r="G126" s="9">
        <f t="shared" si="8"/>
        <v>6.4470591899122986</v>
      </c>
      <c r="H126" s="16">
        <f t="shared" si="9"/>
        <v>630.84436876692678</v>
      </c>
    </row>
    <row r="127" spans="1:11">
      <c r="A127" s="13">
        <v>5</v>
      </c>
      <c r="B127" s="13">
        <v>154</v>
      </c>
      <c r="C127" s="9">
        <f t="shared" si="5"/>
        <v>5.0369526024136295</v>
      </c>
      <c r="D127" s="14">
        <f t="shared" si="6"/>
        <v>0.16129032258064516</v>
      </c>
      <c r="E127" s="9">
        <v>6.4232469635335194</v>
      </c>
      <c r="F127" s="14">
        <f t="shared" si="7"/>
        <v>0.83870967741935487</v>
      </c>
      <c r="G127" s="9">
        <f t="shared" si="8"/>
        <v>6.3663257555729098</v>
      </c>
      <c r="H127" s="16">
        <f t="shared" si="9"/>
        <v>581.91579525576674</v>
      </c>
    </row>
    <row r="128" spans="1:11">
      <c r="A128" s="13">
        <v>6</v>
      </c>
      <c r="B128" s="13">
        <v>411</v>
      </c>
      <c r="C128" s="9">
        <f t="shared" si="5"/>
        <v>6.0185932144962342</v>
      </c>
      <c r="D128" s="14">
        <f t="shared" si="6"/>
        <v>0.19354838709677419</v>
      </c>
      <c r="E128" s="9">
        <v>6.2747620212419388</v>
      </c>
      <c r="F128" s="14">
        <f t="shared" si="7"/>
        <v>0.80645161290322576</v>
      </c>
      <c r="G128" s="9">
        <f t="shared" si="8"/>
        <v>6.2955750284710943</v>
      </c>
      <c r="H128" s="16">
        <f t="shared" si="9"/>
        <v>542.16751853358926</v>
      </c>
    </row>
    <row r="129" spans="1:8">
      <c r="A129" s="13">
        <v>7</v>
      </c>
      <c r="B129" s="13">
        <v>616</v>
      </c>
      <c r="C129" s="9">
        <f t="shared" si="5"/>
        <v>6.4232469635335194</v>
      </c>
      <c r="D129" s="14">
        <f t="shared" si="6"/>
        <v>0.22580645161290322</v>
      </c>
      <c r="E129" s="9">
        <v>6.2383246250395077</v>
      </c>
      <c r="F129" s="14">
        <f t="shared" si="7"/>
        <v>0.77419354838709675</v>
      </c>
      <c r="G129" s="9">
        <f t="shared" si="8"/>
        <v>6.231717921727526</v>
      </c>
      <c r="H129" s="16">
        <f t="shared" si="9"/>
        <v>508.62851736037192</v>
      </c>
    </row>
    <row r="130" spans="1:8">
      <c r="A130" s="13">
        <v>8</v>
      </c>
      <c r="B130" s="13">
        <v>356</v>
      </c>
      <c r="C130" s="9">
        <f t="shared" si="5"/>
        <v>5.8749307308520304</v>
      </c>
      <c r="D130" s="14">
        <f t="shared" si="6"/>
        <v>0.25806451612903225</v>
      </c>
      <c r="E130" s="9">
        <v>6.1158921254830343</v>
      </c>
      <c r="F130" s="14">
        <f t="shared" si="7"/>
        <v>0.74193548387096775</v>
      </c>
      <c r="G130" s="9">
        <f t="shared" si="8"/>
        <v>6.1728483697208345</v>
      </c>
      <c r="H130" s="16">
        <f t="shared" si="9"/>
        <v>479.55009857001374</v>
      </c>
    </row>
    <row r="131" spans="1:8">
      <c r="A131" s="13">
        <v>9</v>
      </c>
      <c r="B131" s="13">
        <v>512</v>
      </c>
      <c r="C131" s="9">
        <f t="shared" si="5"/>
        <v>6.2383246250395077</v>
      </c>
      <c r="D131" s="14">
        <f t="shared" si="6"/>
        <v>0.29032258064516131</v>
      </c>
      <c r="E131" s="9">
        <v>6.089044875446846</v>
      </c>
      <c r="F131" s="14">
        <f t="shared" si="7"/>
        <v>0.70967741935483875</v>
      </c>
      <c r="G131" s="9">
        <f t="shared" si="8"/>
        <v>6.1176927489238837</v>
      </c>
      <c r="H131" s="16">
        <f t="shared" si="9"/>
        <v>453.81641722811878</v>
      </c>
    </row>
    <row r="132" spans="1:8">
      <c r="A132" s="13">
        <v>10</v>
      </c>
      <c r="B132" s="13">
        <v>375</v>
      </c>
      <c r="C132" s="9">
        <f t="shared" si="5"/>
        <v>5.9269260259704106</v>
      </c>
      <c r="D132" s="14">
        <f t="shared" si="6"/>
        <v>0.32258064516129031</v>
      </c>
      <c r="E132" s="9">
        <v>6.0684255882441107</v>
      </c>
      <c r="F132" s="14">
        <f t="shared" si="7"/>
        <v>0.67741935483870974</v>
      </c>
      <c r="G132" s="9">
        <f t="shared" si="8"/>
        <v>6.0653457011545182</v>
      </c>
      <c r="H132" s="16">
        <f t="shared" si="9"/>
        <v>430.67153558761078</v>
      </c>
    </row>
    <row r="133" spans="1:8">
      <c r="A133" s="13">
        <v>11</v>
      </c>
      <c r="B133" s="13">
        <v>375</v>
      </c>
      <c r="C133" s="9">
        <f t="shared" si="5"/>
        <v>5.9269260259704106</v>
      </c>
      <c r="D133" s="14">
        <f t="shared" si="6"/>
        <v>0.35483870967741937</v>
      </c>
      <c r="E133" s="9">
        <v>6.0544393462693709</v>
      </c>
      <c r="F133" s="14">
        <f t="shared" si="7"/>
        <v>0.64516129032258063</v>
      </c>
      <c r="G133" s="9">
        <f t="shared" si="8"/>
        <v>6.0151295092565347</v>
      </c>
      <c r="H133" s="16">
        <f t="shared" si="9"/>
        <v>409.57887973812677</v>
      </c>
    </row>
    <row r="134" spans="1:8">
      <c r="A134" s="13">
        <v>12</v>
      </c>
      <c r="B134" s="13">
        <v>531</v>
      </c>
      <c r="C134" s="9">
        <f t="shared" si="5"/>
        <v>6.2747620212419388</v>
      </c>
      <c r="D134" s="14">
        <f t="shared" si="6"/>
        <v>0.38709677419354838</v>
      </c>
      <c r="E134" s="9">
        <v>6.0185932144962342</v>
      </c>
      <c r="F134" s="14">
        <f t="shared" si="7"/>
        <v>0.61290322580645162</v>
      </c>
      <c r="G134" s="9">
        <f t="shared" si="8"/>
        <v>5.966512930883864</v>
      </c>
      <c r="H134" s="16">
        <f t="shared" si="9"/>
        <v>390.14284093845816</v>
      </c>
    </row>
    <row r="135" spans="1:8">
      <c r="A135" s="13">
        <v>13</v>
      </c>
      <c r="B135" s="13">
        <v>426</v>
      </c>
      <c r="C135" s="9">
        <f t="shared" si="5"/>
        <v>6.0544393462693709</v>
      </c>
      <c r="D135" s="14">
        <f t="shared" si="6"/>
        <v>0.41935483870967744</v>
      </c>
      <c r="E135" s="9">
        <v>5.9712618397904622</v>
      </c>
      <c r="F135" s="14">
        <f t="shared" si="7"/>
        <v>0.58064516129032251</v>
      </c>
      <c r="G135" s="9">
        <f t="shared" si="8"/>
        <v>5.9190610254420113</v>
      </c>
      <c r="H135" s="16">
        <f t="shared" si="9"/>
        <v>372.06219287310051</v>
      </c>
    </row>
    <row r="136" spans="1:8">
      <c r="A136" s="13">
        <v>14</v>
      </c>
      <c r="B136" s="13">
        <v>441</v>
      </c>
      <c r="C136" s="9">
        <f t="shared" si="5"/>
        <v>6.089044875446846</v>
      </c>
      <c r="D136" s="14">
        <f t="shared" si="6"/>
        <v>0.45161290322580644</v>
      </c>
      <c r="E136" s="9">
        <v>5.9269260259704106</v>
      </c>
      <c r="F136" s="14">
        <f t="shared" si="7"/>
        <v>0.54838709677419351</v>
      </c>
      <c r="G136" s="9">
        <f t="shared" si="8"/>
        <v>5.8724020774148764</v>
      </c>
      <c r="H136" s="16">
        <f t="shared" si="9"/>
        <v>355.10093656535281</v>
      </c>
    </row>
    <row r="137" spans="1:8">
      <c r="A137" s="13">
        <v>15</v>
      </c>
      <c r="B137" s="13">
        <v>323</v>
      </c>
      <c r="C137" s="9">
        <f t="shared" si="5"/>
        <v>5.7776523232226564</v>
      </c>
      <c r="D137" s="14">
        <f t="shared" si="6"/>
        <v>0.4838709677419355</v>
      </c>
      <c r="E137" s="9">
        <v>5.9269260259704106</v>
      </c>
      <c r="F137" s="14">
        <f t="shared" si="7"/>
        <v>0.5161290322580645</v>
      </c>
      <c r="G137" s="9">
        <f t="shared" si="8"/>
        <v>5.8262042569590689</v>
      </c>
      <c r="H137" s="16">
        <f t="shared" si="9"/>
        <v>339.06921377189252</v>
      </c>
    </row>
    <row r="138" spans="1:8">
      <c r="A138" s="13">
        <v>16</v>
      </c>
      <c r="B138" s="13">
        <v>392</v>
      </c>
      <c r="C138" s="9">
        <f t="shared" si="5"/>
        <v>5.9712618397904622</v>
      </c>
      <c r="D138" s="14">
        <f t="shared" si="6"/>
        <v>0.5161290322580645</v>
      </c>
      <c r="E138" s="9">
        <v>5.8916442118257715</v>
      </c>
      <c r="F138" s="14">
        <f t="shared" si="7"/>
        <v>0.4838709677419355</v>
      </c>
      <c r="G138" s="9">
        <f t="shared" si="8"/>
        <v>5.7801577918887883</v>
      </c>
      <c r="H138" s="16">
        <f t="shared" si="9"/>
        <v>323.8102810221468</v>
      </c>
    </row>
    <row r="139" spans="1:8">
      <c r="A139" s="13">
        <v>17</v>
      </c>
      <c r="B139" s="13">
        <v>191</v>
      </c>
      <c r="C139" s="9">
        <f t="shared" si="5"/>
        <v>5.2522734280466299</v>
      </c>
      <c r="D139" s="14">
        <f t="shared" si="6"/>
        <v>0.54838709677419351</v>
      </c>
      <c r="E139" s="9">
        <v>5.8888779583328805</v>
      </c>
      <c r="F139" s="14">
        <f t="shared" si="7"/>
        <v>0.45161290322580649</v>
      </c>
      <c r="G139" s="9">
        <f t="shared" si="8"/>
        <v>5.7339599714329816</v>
      </c>
      <c r="H139" s="16">
        <f t="shared" si="9"/>
        <v>309.19123576354878</v>
      </c>
    </row>
    <row r="140" spans="1:8">
      <c r="A140" s="13">
        <v>18</v>
      </c>
      <c r="B140" s="13">
        <v>185</v>
      </c>
      <c r="C140" s="9">
        <f t="shared" si="5"/>
        <v>5.2203558250783244</v>
      </c>
      <c r="D140" s="14">
        <f t="shared" si="6"/>
        <v>0.58064516129032262</v>
      </c>
      <c r="E140" s="9">
        <v>5.8749307308520304</v>
      </c>
      <c r="F140" s="14">
        <f t="shared" si="7"/>
        <v>0.41935483870967738</v>
      </c>
      <c r="G140" s="9">
        <f t="shared" si="8"/>
        <v>5.6873010234058468</v>
      </c>
      <c r="H140" s="16">
        <f t="shared" si="9"/>
        <v>295.09608742988439</v>
      </c>
    </row>
    <row r="141" spans="1:8">
      <c r="A141" s="13">
        <v>19</v>
      </c>
      <c r="B141" s="13">
        <v>453</v>
      </c>
      <c r="C141" s="9">
        <f t="shared" si="5"/>
        <v>6.1158921254830343</v>
      </c>
      <c r="D141" s="14">
        <f t="shared" si="6"/>
        <v>0.61290322580645162</v>
      </c>
      <c r="E141" s="9">
        <v>5.7990926544605257</v>
      </c>
      <c r="F141" s="14">
        <f t="shared" si="7"/>
        <v>0.38709677419354838</v>
      </c>
      <c r="G141" s="9">
        <f t="shared" si="8"/>
        <v>5.639849117963994</v>
      </c>
      <c r="H141" s="16">
        <f t="shared" si="9"/>
        <v>281.42025401089978</v>
      </c>
    </row>
    <row r="142" spans="1:8">
      <c r="A142" s="13">
        <v>20</v>
      </c>
      <c r="B142" s="13">
        <v>87</v>
      </c>
      <c r="C142" s="9">
        <f t="shared" si="5"/>
        <v>4.4659081186545837</v>
      </c>
      <c r="D142" s="14">
        <f t="shared" si="6"/>
        <v>0.64516129032258063</v>
      </c>
      <c r="E142" s="9">
        <v>5.7776523232226564</v>
      </c>
      <c r="F142" s="14">
        <f t="shared" si="7"/>
        <v>0.35483870967741937</v>
      </c>
      <c r="G142" s="9">
        <f t="shared" si="8"/>
        <v>5.5912325395913234</v>
      </c>
      <c r="H142" s="16">
        <f t="shared" si="9"/>
        <v>268.06581791432762</v>
      </c>
    </row>
    <row r="143" spans="1:8">
      <c r="A143" s="13">
        <v>21</v>
      </c>
      <c r="B143" s="13">
        <v>712</v>
      </c>
      <c r="C143" s="9">
        <f t="shared" si="5"/>
        <v>6.5680779114119758</v>
      </c>
      <c r="D143" s="14">
        <f t="shared" si="6"/>
        <v>0.67741935483870963</v>
      </c>
      <c r="E143" s="9">
        <v>5.6204008657171496</v>
      </c>
      <c r="F143" s="14">
        <f t="shared" si="7"/>
        <v>0.32258064516129037</v>
      </c>
      <c r="G143" s="9">
        <f t="shared" si="8"/>
        <v>5.5410163476933398</v>
      </c>
      <c r="H143" s="16">
        <f t="shared" si="9"/>
        <v>254.93697243685085</v>
      </c>
    </row>
    <row r="144" spans="1:8">
      <c r="A144" s="13">
        <v>22</v>
      </c>
      <c r="B144" s="13">
        <v>659</v>
      </c>
      <c r="C144" s="9">
        <f t="shared" si="5"/>
        <v>6.4907235345025072</v>
      </c>
      <c r="D144" s="14">
        <f t="shared" si="6"/>
        <v>0.70967741935483875</v>
      </c>
      <c r="E144" s="9">
        <v>5.389071729816501</v>
      </c>
      <c r="F144" s="14">
        <f t="shared" si="7"/>
        <v>0.29032258064516125</v>
      </c>
      <c r="G144" s="9">
        <f t="shared" si="8"/>
        <v>5.4886692999239743</v>
      </c>
      <c r="H144" s="16">
        <f t="shared" si="9"/>
        <v>241.93504956927339</v>
      </c>
    </row>
    <row r="145" spans="1:8">
      <c r="A145" s="13">
        <v>23</v>
      </c>
      <c r="B145" s="13">
        <v>276</v>
      </c>
      <c r="C145" s="9">
        <f t="shared" si="5"/>
        <v>5.6204008657171496</v>
      </c>
      <c r="D145" s="14">
        <f t="shared" si="6"/>
        <v>0.74193548387096775</v>
      </c>
      <c r="E145" s="9">
        <v>5.2678581590633282</v>
      </c>
      <c r="F145" s="14">
        <f t="shared" si="7"/>
        <v>0.25806451612903225</v>
      </c>
      <c r="G145" s="9">
        <f t="shared" si="8"/>
        <v>5.4335136791270235</v>
      </c>
      <c r="H145" s="16">
        <f t="shared" si="9"/>
        <v>228.95229867501564</v>
      </c>
    </row>
    <row r="146" spans="1:8">
      <c r="A146" s="13">
        <v>24</v>
      </c>
      <c r="B146" s="13">
        <v>194</v>
      </c>
      <c r="C146" s="9">
        <f t="shared" si="5"/>
        <v>5.2678581590633282</v>
      </c>
      <c r="D146" s="14">
        <f t="shared" si="6"/>
        <v>0.77419354838709675</v>
      </c>
      <c r="E146" s="9">
        <v>5.2522734280466299</v>
      </c>
      <c r="F146" s="14">
        <f t="shared" si="7"/>
        <v>0.22580645161290325</v>
      </c>
      <c r="G146" s="9">
        <f t="shared" si="8"/>
        <v>5.374644127120332</v>
      </c>
      <c r="H146" s="16">
        <f t="shared" si="9"/>
        <v>215.86303883870514</v>
      </c>
    </row>
    <row r="147" spans="1:8">
      <c r="A147" s="13">
        <v>25</v>
      </c>
      <c r="B147" s="13">
        <v>159</v>
      </c>
      <c r="C147" s="9">
        <f t="shared" si="5"/>
        <v>5.0689042022202315</v>
      </c>
      <c r="D147" s="14">
        <f t="shared" si="6"/>
        <v>0.80645161290322576</v>
      </c>
      <c r="E147" s="9">
        <v>5.2203558250783244</v>
      </c>
      <c r="F147" s="14">
        <f t="shared" si="7"/>
        <v>0.19354838709677424</v>
      </c>
      <c r="G147" s="9">
        <f t="shared" si="8"/>
        <v>5.3107870203767629</v>
      </c>
      <c r="H147" s="16">
        <f t="shared" si="9"/>
        <v>202.50954482554957</v>
      </c>
    </row>
    <row r="148" spans="1:8">
      <c r="A148" s="13">
        <v>26</v>
      </c>
      <c r="B148" s="13">
        <v>134</v>
      </c>
      <c r="C148" s="9">
        <f t="shared" si="5"/>
        <v>4.8978397999509111</v>
      </c>
      <c r="D148" s="14">
        <f t="shared" si="6"/>
        <v>0.83870967741935487</v>
      </c>
      <c r="E148" s="9">
        <v>5.0689042022202315</v>
      </c>
      <c r="F148" s="14">
        <f t="shared" si="7"/>
        <v>0.16129032258064513</v>
      </c>
      <c r="G148" s="9">
        <f t="shared" si="8"/>
        <v>5.2400362932749482</v>
      </c>
      <c r="H148" s="16">
        <f t="shared" si="9"/>
        <v>188.67694998582689</v>
      </c>
    </row>
    <row r="149" spans="1:8">
      <c r="A149" s="13">
        <v>27</v>
      </c>
      <c r="B149" s="13">
        <v>156</v>
      </c>
      <c r="C149" s="9">
        <f t="shared" si="5"/>
        <v>5.0498560072495371</v>
      </c>
      <c r="D149" s="14">
        <f t="shared" si="6"/>
        <v>0.87096774193548387</v>
      </c>
      <c r="E149" s="9">
        <v>5.0498560072495371</v>
      </c>
      <c r="F149" s="14">
        <f t="shared" si="7"/>
        <v>0.12903225806451613</v>
      </c>
      <c r="G149" s="9">
        <f t="shared" si="8"/>
        <v>5.1593028589355594</v>
      </c>
      <c r="H149" s="16">
        <f t="shared" si="9"/>
        <v>174.04308072376526</v>
      </c>
    </row>
    <row r="150" spans="1:8">
      <c r="A150" s="13">
        <v>28</v>
      </c>
      <c r="B150" s="13">
        <v>362</v>
      </c>
      <c r="C150" s="9">
        <f t="shared" si="5"/>
        <v>5.8916442118257715</v>
      </c>
      <c r="D150" s="14">
        <f t="shared" si="6"/>
        <v>0.90322580645161288</v>
      </c>
      <c r="E150" s="9">
        <v>5.0369526024136295</v>
      </c>
      <c r="F150" s="14">
        <f t="shared" si="7"/>
        <v>9.6774193548387122E-2</v>
      </c>
      <c r="G150" s="9">
        <f t="shared" si="8"/>
        <v>5.0629891749793003</v>
      </c>
      <c r="H150" s="16">
        <f t="shared" si="9"/>
        <v>158.06228670256363</v>
      </c>
    </row>
    <row r="151" spans="1:8">
      <c r="A151" s="13">
        <v>29</v>
      </c>
      <c r="B151" s="13">
        <v>432</v>
      </c>
      <c r="C151" s="9">
        <f t="shared" si="5"/>
        <v>6.0684255882441107</v>
      </c>
      <c r="D151" s="14">
        <f t="shared" si="6"/>
        <v>0.93548387096774188</v>
      </c>
      <c r="E151" s="9">
        <v>4.8978397999509111</v>
      </c>
      <c r="F151" s="14">
        <f t="shared" si="7"/>
        <v>6.4516129032258118E-2</v>
      </c>
      <c r="G151" s="9">
        <f t="shared" si="8"/>
        <v>4.9390070253141181</v>
      </c>
      <c r="H151" s="16">
        <f t="shared" si="9"/>
        <v>139.63153012419266</v>
      </c>
    </row>
    <row r="152" spans="1:8">
      <c r="A152" s="13">
        <v>30</v>
      </c>
      <c r="B152" s="13">
        <v>890</v>
      </c>
      <c r="C152" s="9">
        <f t="shared" si="5"/>
        <v>6.7912214627261855</v>
      </c>
      <c r="D152" s="14">
        <f t="shared" si="6"/>
        <v>0.967741935483871</v>
      </c>
      <c r="E152" s="9">
        <v>4.4659081186545837</v>
      </c>
      <c r="F152" s="14">
        <f t="shared" si="7"/>
        <v>3.2258064516129004E-2</v>
      </c>
      <c r="G152" s="9">
        <f t="shared" si="8"/>
        <v>4.7507545410952812</v>
      </c>
      <c r="H152" s="16">
        <f t="shared" si="9"/>
        <v>115.67153053104042</v>
      </c>
    </row>
    <row r="188" spans="2:6" ht="18.75">
      <c r="F188" s="3" t="s">
        <v>31</v>
      </c>
    </row>
    <row r="189" spans="2:6">
      <c r="B189" s="38" t="s">
        <v>67</v>
      </c>
      <c r="C189" s="40"/>
      <c r="D189" s="39"/>
    </row>
    <row r="191" spans="2:6">
      <c r="B191" s="36" t="s">
        <v>33</v>
      </c>
      <c r="C191" s="36"/>
    </row>
    <row r="192" spans="2:6">
      <c r="B192" s="17" t="s">
        <v>5</v>
      </c>
      <c r="C192" s="9">
        <f>$G$12</f>
        <v>24.756666666666668</v>
      </c>
    </row>
    <row r="193" spans="2:9">
      <c r="B193" s="12" t="s">
        <v>6</v>
      </c>
      <c r="C193" s="9">
        <f>$G$13</f>
        <v>6.2834036094731456</v>
      </c>
    </row>
    <row r="194" spans="2:9" ht="30">
      <c r="B194" s="12" t="s">
        <v>32</v>
      </c>
      <c r="C194" s="13">
        <v>30</v>
      </c>
    </row>
    <row r="196" spans="2:9" ht="30">
      <c r="B196" s="17" t="s">
        <v>34</v>
      </c>
      <c r="C196" s="17" t="s">
        <v>35</v>
      </c>
      <c r="D196" s="17" t="s">
        <v>29</v>
      </c>
      <c r="E196" s="19"/>
      <c r="F196" s="18" t="s">
        <v>37</v>
      </c>
      <c r="G196" s="22" t="s">
        <v>38</v>
      </c>
      <c r="H196" s="22" t="s">
        <v>39</v>
      </c>
      <c r="I196" s="19"/>
    </row>
    <row r="197" spans="2:9">
      <c r="B197" s="13">
        <v>1</v>
      </c>
      <c r="C197" s="21">
        <f>B197/$B$201</f>
        <v>0.2</v>
      </c>
      <c r="D197" s="14">
        <f>NORMINV(C197,$C$192,$C$193)</f>
        <v>19.468420769825379</v>
      </c>
      <c r="E197" s="19"/>
      <c r="F197" s="13">
        <f>30/5</f>
        <v>6</v>
      </c>
      <c r="G197" s="13">
        <v>6</v>
      </c>
      <c r="H197" s="13">
        <f>(G197-F197)^2/F197</f>
        <v>0</v>
      </c>
      <c r="I197" s="19"/>
    </row>
    <row r="198" spans="2:9">
      <c r="B198" s="13">
        <v>2</v>
      </c>
      <c r="C198" s="21">
        <f>B198/$B$201</f>
        <v>0.4</v>
      </c>
      <c r="D198" s="14">
        <f>NORMINV(C198,$C$192,$C$193)</f>
        <v>23.164784564373619</v>
      </c>
      <c r="E198" s="19"/>
      <c r="F198" s="13">
        <f t="shared" ref="F198:F201" si="10">30/5</f>
        <v>6</v>
      </c>
      <c r="G198" s="13">
        <v>6</v>
      </c>
      <c r="H198" s="13">
        <f t="shared" ref="H198:H201" si="11">(G198-F198)^2/F198</f>
        <v>0</v>
      </c>
      <c r="I198" s="19"/>
    </row>
    <row r="199" spans="2:9">
      <c r="B199" s="13">
        <v>3</v>
      </c>
      <c r="C199" s="21">
        <f>B199/$B$201</f>
        <v>0.6</v>
      </c>
      <c r="D199" s="14">
        <f>NORMINV(C199,$C$192,$C$193)</f>
        <v>26.348548768959716</v>
      </c>
      <c r="E199" s="19"/>
      <c r="F199" s="13">
        <f t="shared" si="10"/>
        <v>6</v>
      </c>
      <c r="G199" s="13">
        <v>6</v>
      </c>
      <c r="H199" s="13">
        <f t="shared" si="11"/>
        <v>0</v>
      </c>
      <c r="I199" s="19"/>
    </row>
    <row r="200" spans="2:9">
      <c r="B200" s="13">
        <v>4</v>
      </c>
      <c r="C200" s="21">
        <f>B200/$B$201</f>
        <v>0.8</v>
      </c>
      <c r="D200" s="14">
        <f>NORMINV(C200,$C$192,$C$193)</f>
        <v>30.044912563507957</v>
      </c>
      <c r="E200" s="19"/>
      <c r="F200" s="13">
        <f t="shared" si="10"/>
        <v>6</v>
      </c>
      <c r="G200" s="13">
        <v>6</v>
      </c>
      <c r="H200" s="13">
        <f t="shared" si="11"/>
        <v>0</v>
      </c>
      <c r="I200" s="19"/>
    </row>
    <row r="201" spans="2:9">
      <c r="B201" s="13">
        <v>5</v>
      </c>
      <c r="C201" s="21">
        <f>B201/$B$201</f>
        <v>1</v>
      </c>
      <c r="D201" s="13" t="s">
        <v>36</v>
      </c>
      <c r="E201" s="19"/>
      <c r="F201" s="13">
        <f t="shared" si="10"/>
        <v>6</v>
      </c>
      <c r="G201" s="13">
        <v>6</v>
      </c>
      <c r="H201" s="13">
        <f t="shared" si="11"/>
        <v>0</v>
      </c>
      <c r="I201" s="19"/>
    </row>
    <row r="202" spans="2:9">
      <c r="F202" s="6"/>
      <c r="G202" s="23" t="s">
        <v>40</v>
      </c>
      <c r="H202" s="13">
        <f>SUM(H197:H201)</f>
        <v>0</v>
      </c>
    </row>
    <row r="203" spans="2:9" ht="30">
      <c r="B203" s="12" t="s">
        <v>41</v>
      </c>
      <c r="C203" s="13">
        <v>2</v>
      </c>
      <c r="D203" s="13"/>
    </row>
    <row r="204" spans="2:9" ht="30">
      <c r="B204" s="12" t="s">
        <v>42</v>
      </c>
      <c r="C204" s="17" t="s">
        <v>43</v>
      </c>
      <c r="D204" s="17" t="s">
        <v>44</v>
      </c>
    </row>
    <row r="205" spans="2:9">
      <c r="B205" s="24">
        <v>0.01</v>
      </c>
      <c r="C205" s="13">
        <v>9.1999999999999993</v>
      </c>
      <c r="D205" s="13" t="s">
        <v>46</v>
      </c>
    </row>
    <row r="206" spans="2:9">
      <c r="B206" s="24">
        <v>0.05</v>
      </c>
      <c r="C206" s="13">
        <v>6</v>
      </c>
      <c r="D206" s="13" t="s">
        <v>45</v>
      </c>
    </row>
    <row r="207" spans="2:9">
      <c r="B207" s="24">
        <v>0.1</v>
      </c>
      <c r="C207" s="13">
        <v>4.5999999999999996</v>
      </c>
      <c r="D207" s="13" t="s">
        <v>45</v>
      </c>
    </row>
    <row r="210" spans="2:9">
      <c r="B210" s="36" t="s">
        <v>21</v>
      </c>
      <c r="C210" s="36"/>
    </row>
    <row r="211" spans="2:9">
      <c r="B211" s="17" t="s">
        <v>5</v>
      </c>
      <c r="C211" s="9">
        <f>$H$12</f>
        <v>382.46666666666664</v>
      </c>
    </row>
    <row r="212" spans="2:9">
      <c r="B212" s="12" t="s">
        <v>6</v>
      </c>
      <c r="C212" s="9">
        <f>$H$13</f>
        <v>199.43017675943341</v>
      </c>
    </row>
    <row r="213" spans="2:9">
      <c r="B213" s="17" t="s">
        <v>22</v>
      </c>
      <c r="C213" s="9">
        <v>6.4283150164703403E-3</v>
      </c>
    </row>
    <row r="214" spans="2:9">
      <c r="B214" s="17" t="s">
        <v>23</v>
      </c>
      <c r="C214" s="16">
        <v>292.72308712492162</v>
      </c>
    </row>
    <row r="215" spans="2:9" ht="30">
      <c r="B215" s="12" t="s">
        <v>32</v>
      </c>
      <c r="C215" s="13">
        <v>30</v>
      </c>
      <c r="I215" s="19"/>
    </row>
    <row r="216" spans="2:9">
      <c r="I216" s="19"/>
    </row>
    <row r="217" spans="2:9" ht="30">
      <c r="B217" s="17" t="s">
        <v>34</v>
      </c>
      <c r="C217" s="17" t="s">
        <v>35</v>
      </c>
      <c r="D217" s="17" t="s">
        <v>29</v>
      </c>
      <c r="E217" s="19"/>
      <c r="F217" s="18" t="s">
        <v>37</v>
      </c>
      <c r="G217" s="22" t="s">
        <v>38</v>
      </c>
      <c r="H217" s="22" t="s">
        <v>39</v>
      </c>
      <c r="I217" s="19"/>
    </row>
    <row r="218" spans="2:9">
      <c r="B218" s="13">
        <v>1</v>
      </c>
      <c r="C218" s="21">
        <f>B218/$B$201</f>
        <v>0.2</v>
      </c>
      <c r="D218" s="9">
        <f>$C$214-LN(-LN(C218))/$C$213</f>
        <v>218.69357953112458</v>
      </c>
      <c r="E218" s="19"/>
      <c r="F218" s="13">
        <f>30/5</f>
        <v>6</v>
      </c>
      <c r="G218" s="13">
        <v>6</v>
      </c>
      <c r="H218" s="13">
        <f>(G218-F218)^2/F218</f>
        <v>0</v>
      </c>
      <c r="I218" s="19"/>
    </row>
    <row r="219" spans="2:9">
      <c r="B219" s="13">
        <v>2</v>
      </c>
      <c r="C219" s="21">
        <f>B219/$B$201</f>
        <v>0.4</v>
      </c>
      <c r="D219" s="9">
        <f t="shared" ref="D219:D221" si="12">$C$214-LN(-LN(C219))/$C$213</f>
        <v>306.32254072462348</v>
      </c>
      <c r="E219" s="19"/>
      <c r="F219" s="13">
        <f t="shared" ref="F219:F222" si="13">30/5</f>
        <v>6</v>
      </c>
      <c r="G219" s="13">
        <v>6</v>
      </c>
      <c r="H219" s="13">
        <f t="shared" ref="H219:H222" si="14">(G219-F219)^2/F219</f>
        <v>0</v>
      </c>
      <c r="I219" s="19"/>
    </row>
    <row r="220" spans="2:9">
      <c r="B220" s="13">
        <v>3</v>
      </c>
      <c r="C220" s="21">
        <f>B220/$B$201</f>
        <v>0.6</v>
      </c>
      <c r="D220" s="9">
        <f t="shared" si="12"/>
        <v>397.21812048452722</v>
      </c>
      <c r="E220" s="19"/>
      <c r="F220" s="13">
        <f t="shared" si="13"/>
        <v>6</v>
      </c>
      <c r="G220" s="13">
        <v>6</v>
      </c>
      <c r="H220" s="13">
        <f t="shared" si="14"/>
        <v>0</v>
      </c>
      <c r="I220" s="19"/>
    </row>
    <row r="221" spans="2:9">
      <c r="B221" s="13">
        <v>4</v>
      </c>
      <c r="C221" s="21">
        <f>B221/$B$201</f>
        <v>0.8</v>
      </c>
      <c r="D221" s="9">
        <f t="shared" si="12"/>
        <v>526.05639187374572</v>
      </c>
      <c r="E221" s="19"/>
      <c r="F221" s="13">
        <f t="shared" si="13"/>
        <v>6</v>
      </c>
      <c r="G221" s="13">
        <v>6</v>
      </c>
      <c r="H221" s="13">
        <f t="shared" si="14"/>
        <v>0</v>
      </c>
    </row>
    <row r="222" spans="2:9">
      <c r="B222" s="13">
        <v>5</v>
      </c>
      <c r="C222" s="21">
        <f>B222/$B$201</f>
        <v>1</v>
      </c>
      <c r="D222" s="13" t="s">
        <v>36</v>
      </c>
      <c r="E222" s="19"/>
      <c r="F222" s="13">
        <f t="shared" si="13"/>
        <v>6</v>
      </c>
      <c r="G222" s="13">
        <v>6</v>
      </c>
      <c r="H222" s="13">
        <f t="shared" si="14"/>
        <v>0</v>
      </c>
    </row>
    <row r="223" spans="2:9">
      <c r="F223" s="6"/>
      <c r="G223" s="23" t="s">
        <v>40</v>
      </c>
      <c r="H223" s="13">
        <f>SUM(H218:H222)</f>
        <v>0</v>
      </c>
    </row>
    <row r="224" spans="2:9" ht="30">
      <c r="B224" s="12" t="s">
        <v>41</v>
      </c>
      <c r="C224" s="13">
        <v>2</v>
      </c>
      <c r="D224" s="13"/>
    </row>
    <row r="225" spans="2:6" ht="30">
      <c r="B225" s="12" t="s">
        <v>42</v>
      </c>
      <c r="C225" s="17" t="s">
        <v>43</v>
      </c>
      <c r="D225" s="17" t="s">
        <v>44</v>
      </c>
    </row>
    <row r="226" spans="2:6">
      <c r="B226" s="24">
        <v>0.01</v>
      </c>
      <c r="C226" s="13">
        <v>9.1999999999999993</v>
      </c>
      <c r="D226" s="13" t="s">
        <v>46</v>
      </c>
    </row>
    <row r="227" spans="2:6">
      <c r="B227" s="24">
        <v>0.05</v>
      </c>
      <c r="C227" s="13">
        <v>6</v>
      </c>
      <c r="D227" s="13" t="s">
        <v>45</v>
      </c>
    </row>
    <row r="228" spans="2:6">
      <c r="B228" s="24">
        <v>0.1</v>
      </c>
      <c r="C228" s="13">
        <v>4.5999999999999996</v>
      </c>
      <c r="D228" s="13" t="s">
        <v>45</v>
      </c>
    </row>
    <row r="231" spans="2:6" ht="18.75">
      <c r="F231" s="3" t="s">
        <v>47</v>
      </c>
    </row>
    <row r="233" spans="2:6">
      <c r="B233" s="17" t="s">
        <v>5</v>
      </c>
      <c r="C233" s="9">
        <v>24.756666666666668</v>
      </c>
    </row>
    <row r="234" spans="2:6">
      <c r="B234" s="17" t="s">
        <v>6</v>
      </c>
      <c r="C234" s="9">
        <v>6.2834036094731456</v>
      </c>
    </row>
    <row r="236" spans="2:6" ht="45">
      <c r="B236" s="12" t="s">
        <v>48</v>
      </c>
      <c r="C236" s="12" t="s">
        <v>49</v>
      </c>
      <c r="D236" s="12" t="s">
        <v>50</v>
      </c>
    </row>
    <row r="237" spans="2:6">
      <c r="B237" s="13">
        <v>10</v>
      </c>
      <c r="C237" s="9">
        <f>1-1/B237</f>
        <v>0.9</v>
      </c>
      <c r="D237" s="16">
        <f>NORMINV(C237,$C$192,$C$193)</f>
        <v>32.809172399335573</v>
      </c>
    </row>
    <row r="238" spans="2:6">
      <c r="B238" s="13">
        <v>50</v>
      </c>
      <c r="C238" s="9">
        <f t="shared" ref="C238:C239" si="15">1-1/B238</f>
        <v>0.98</v>
      </c>
      <c r="D238" s="16">
        <f t="shared" ref="D238:D239" si="16">NORMINV(C238,$C$192,$C$193)</f>
        <v>37.661199984682185</v>
      </c>
    </row>
    <row r="239" spans="2:6">
      <c r="B239" s="13">
        <v>200</v>
      </c>
      <c r="C239" s="9">
        <f t="shared" si="15"/>
        <v>0.995</v>
      </c>
      <c r="D239" s="16">
        <f t="shared" si="16"/>
        <v>40.941641809972587</v>
      </c>
    </row>
    <row r="241" spans="1:13" ht="45">
      <c r="B241" s="12" t="s">
        <v>51</v>
      </c>
      <c r="C241" s="8" t="s">
        <v>52</v>
      </c>
    </row>
    <row r="242" spans="1:13">
      <c r="B242" s="16">
        <f>0.7*$C$233</f>
        <v>17.329666666666665</v>
      </c>
      <c r="C242" s="30">
        <f>NORMDIST(B242,$C$192,$C$193,TRUE)</f>
        <v>0.11860231576359059</v>
      </c>
    </row>
    <row r="244" spans="1:13" ht="15.75">
      <c r="A244" s="29" t="s">
        <v>53</v>
      </c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</row>
    <row r="246" spans="1:13" ht="18.75">
      <c r="F246" s="3" t="s">
        <v>54</v>
      </c>
    </row>
    <row r="248" spans="1:13">
      <c r="C248" s="36" t="s">
        <v>21</v>
      </c>
      <c r="D248" s="36"/>
      <c r="F248" s="36" t="s">
        <v>55</v>
      </c>
      <c r="G248" s="36"/>
    </row>
    <row r="249" spans="1:13">
      <c r="C249" s="17" t="s">
        <v>5</v>
      </c>
      <c r="D249" s="9">
        <f>$H$12</f>
        <v>382.46666666666664</v>
      </c>
      <c r="F249" s="17" t="s">
        <v>5</v>
      </c>
      <c r="G249" s="9">
        <v>5.803181024423929</v>
      </c>
    </row>
    <row r="250" spans="1:13" ht="30">
      <c r="C250" s="12" t="s">
        <v>6</v>
      </c>
      <c r="D250" s="9">
        <f>$H$13</f>
        <v>199.43017675943341</v>
      </c>
      <c r="F250" s="17" t="s">
        <v>6</v>
      </c>
      <c r="G250" s="9">
        <v>0.56931115239975527</v>
      </c>
    </row>
    <row r="251" spans="1:13">
      <c r="C251" s="17" t="s">
        <v>22</v>
      </c>
      <c r="D251" s="9">
        <v>6.4283150164703403E-3</v>
      </c>
    </row>
    <row r="252" spans="1:13">
      <c r="C252" s="17" t="s">
        <v>23</v>
      </c>
      <c r="D252" s="16">
        <v>292.72308712492162</v>
      </c>
    </row>
    <row r="253" spans="1:13">
      <c r="C253" s="31"/>
      <c r="D253" s="32"/>
    </row>
    <row r="254" spans="1:13" ht="45">
      <c r="B254" s="12" t="s">
        <v>48</v>
      </c>
      <c r="C254" s="12" t="s">
        <v>49</v>
      </c>
      <c r="D254" s="12" t="s">
        <v>50</v>
      </c>
      <c r="F254" s="12" t="s">
        <v>48</v>
      </c>
      <c r="G254" s="12" t="s">
        <v>49</v>
      </c>
      <c r="H254" s="18" t="s">
        <v>29</v>
      </c>
      <c r="I254" s="12" t="s">
        <v>50</v>
      </c>
    </row>
    <row r="255" spans="1:13">
      <c r="B255" s="13">
        <v>10</v>
      </c>
      <c r="C255" s="9">
        <f>1-1/B255</f>
        <v>0.9</v>
      </c>
      <c r="D255" s="16">
        <f>$C$214-LN(-LN(C255))/$C$213</f>
        <v>642.79418997950415</v>
      </c>
      <c r="F255" s="13">
        <v>10</v>
      </c>
      <c r="G255" s="9">
        <f>1-1/F255</f>
        <v>0.9</v>
      </c>
      <c r="H255" s="9">
        <f>NORMINV(G255,$K$123,$K$124)</f>
        <v>6.5327826230638362</v>
      </c>
      <c r="I255" s="16">
        <f>EXP($H255)</f>
        <v>687.30807234210738</v>
      </c>
    </row>
    <row r="256" spans="1:13">
      <c r="B256" s="13">
        <v>20</v>
      </c>
      <c r="C256" s="9">
        <f t="shared" ref="C256:C257" si="17">1-1/B256</f>
        <v>0.95</v>
      </c>
      <c r="D256" s="16">
        <f t="shared" ref="D256:D257" si="18">$C$214-LN(-LN(C256))/$C$213</f>
        <v>754.77188862765797</v>
      </c>
      <c r="F256" s="13">
        <v>20</v>
      </c>
      <c r="G256" s="9">
        <f t="shared" ref="G256:G257" si="19">1-1/F256</f>
        <v>0.95</v>
      </c>
      <c r="H256" s="9">
        <f t="shared" ref="H256:H257" si="20">NORMINV(G256,$K$123,$K$124)</f>
        <v>6.7396145383125887</v>
      </c>
      <c r="I256" s="16">
        <f t="shared" ref="I256:I257" si="21">EXP($H256)</f>
        <v>845.23486739192458</v>
      </c>
    </row>
    <row r="257" spans="2:11">
      <c r="B257" s="13">
        <v>1000</v>
      </c>
      <c r="C257" s="9">
        <f t="shared" si="17"/>
        <v>0.999</v>
      </c>
      <c r="D257" s="16">
        <f t="shared" si="18"/>
        <v>1367.2278450321271</v>
      </c>
      <c r="F257" s="13">
        <v>1000</v>
      </c>
      <c r="G257" s="9">
        <f t="shared" si="19"/>
        <v>0.999</v>
      </c>
      <c r="H257" s="9">
        <f t="shared" si="20"/>
        <v>7.5624847398312642</v>
      </c>
      <c r="I257" s="16">
        <f t="shared" si="21"/>
        <v>1924.6217614000186</v>
      </c>
    </row>
    <row r="259" spans="2:11" ht="30">
      <c r="B259" s="17" t="s">
        <v>56</v>
      </c>
      <c r="C259" s="12" t="s">
        <v>52</v>
      </c>
      <c r="D259" s="12" t="s">
        <v>57</v>
      </c>
      <c r="F259" s="17" t="s">
        <v>56</v>
      </c>
      <c r="G259" s="12" t="s">
        <v>52</v>
      </c>
      <c r="H259" s="12" t="s">
        <v>57</v>
      </c>
    </row>
    <row r="260" spans="2:11">
      <c r="B260" s="13">
        <v>1000</v>
      </c>
      <c r="C260" s="30">
        <f>NORMDIST(B260,$C$211,$C$212,TRUE)</f>
        <v>0.99902086410964741</v>
      </c>
      <c r="D260" s="30">
        <f>1-C260</f>
        <v>9.791358903525893E-4</v>
      </c>
      <c r="F260" s="13">
        <v>1000</v>
      </c>
      <c r="G260" s="30">
        <f>NORMDIST(F260,$G$249,$G$250,TRUE)</f>
        <v>1</v>
      </c>
      <c r="H260" s="30">
        <f>1-G260</f>
        <v>0</v>
      </c>
    </row>
    <row r="262" spans="2:11" ht="18.75">
      <c r="F262" s="3" t="s">
        <v>58</v>
      </c>
    </row>
    <row r="264" spans="2:11">
      <c r="C264" s="34" t="s">
        <v>33</v>
      </c>
      <c r="D264" s="35"/>
    </row>
    <row r="265" spans="2:11">
      <c r="C265" s="17" t="s">
        <v>5</v>
      </c>
      <c r="D265" s="9">
        <f>$G$12</f>
        <v>24.756666666666668</v>
      </c>
      <c r="E265" s="17" t="s">
        <v>60</v>
      </c>
      <c r="F265" s="13">
        <v>0.95</v>
      </c>
    </row>
    <row r="266" spans="2:11" ht="30">
      <c r="C266" s="12" t="s">
        <v>6</v>
      </c>
      <c r="D266" s="9">
        <f>$G$13</f>
        <v>6.2834036094731456</v>
      </c>
      <c r="E266" s="17" t="s">
        <v>61</v>
      </c>
      <c r="F266" s="13">
        <f>(1+0.95)/2</f>
        <v>0.97499999999999998</v>
      </c>
    </row>
    <row r="267" spans="2:11" ht="30">
      <c r="C267" s="12" t="s">
        <v>32</v>
      </c>
      <c r="D267" s="13">
        <v>30</v>
      </c>
      <c r="E267" s="17" t="s">
        <v>27</v>
      </c>
      <c r="F267" s="13">
        <v>1.96</v>
      </c>
    </row>
    <row r="269" spans="2:11" ht="45">
      <c r="C269" s="12" t="s">
        <v>48</v>
      </c>
      <c r="D269" s="12" t="s">
        <v>49</v>
      </c>
      <c r="E269" s="12" t="s">
        <v>59</v>
      </c>
      <c r="F269" s="18" t="s">
        <v>62</v>
      </c>
      <c r="G269" s="18" t="s">
        <v>63</v>
      </c>
      <c r="H269" s="18" t="s">
        <v>64</v>
      </c>
      <c r="I269" s="18" t="s">
        <v>29</v>
      </c>
      <c r="J269" s="18" t="s">
        <v>65</v>
      </c>
      <c r="K269" s="18" t="s">
        <v>66</v>
      </c>
    </row>
    <row r="270" spans="2:11">
      <c r="C270" s="13">
        <v>10</v>
      </c>
      <c r="D270" s="9">
        <f>1-1/C270</f>
        <v>0.9</v>
      </c>
      <c r="E270" s="13">
        <v>1.96</v>
      </c>
      <c r="F270" s="13">
        <v>1.282</v>
      </c>
      <c r="G270" s="9">
        <f>SQRT(1+(F270^2)/2)</f>
        <v>1.3497266389902809</v>
      </c>
      <c r="H270" s="9">
        <f>G270*$D$266/SQRT(30)</f>
        <v>1.5483892563898278</v>
      </c>
      <c r="I270" s="16">
        <v>32.809172399335573</v>
      </c>
      <c r="J270" s="9">
        <f>I270+H270*E270</f>
        <v>35.844015341859638</v>
      </c>
      <c r="K270" s="9">
        <f>I270-H270*E270</f>
        <v>29.774329456811511</v>
      </c>
    </row>
    <row r="271" spans="2:11">
      <c r="C271" s="13">
        <v>50</v>
      </c>
      <c r="D271" s="9">
        <f t="shared" ref="D271:D272" si="22">1-1/C271</f>
        <v>0.98</v>
      </c>
      <c r="E271" s="13">
        <v>1.96</v>
      </c>
      <c r="F271" s="13">
        <v>2.0539999999999998</v>
      </c>
      <c r="G271" s="9">
        <f t="shared" ref="G271:G272" si="23">SQRT(1+(F271^2)/2)</f>
        <v>1.7633655321571871</v>
      </c>
      <c r="H271" s="9">
        <f>G271*$D$266/SQRT(30)</f>
        <v>2.0229105407024428</v>
      </c>
      <c r="I271" s="16">
        <v>37.661199984682185</v>
      </c>
      <c r="J271" s="9">
        <f t="shared" ref="J271:J272" si="24">I271+H271*E271</f>
        <v>41.62610464445897</v>
      </c>
      <c r="K271" s="9">
        <f t="shared" ref="K271:K272" si="25">I271-H271*E271</f>
        <v>33.6962953249054</v>
      </c>
    </row>
    <row r="272" spans="2:11">
      <c r="C272" s="13">
        <v>200</v>
      </c>
      <c r="D272" s="9">
        <f t="shared" si="22"/>
        <v>0.995</v>
      </c>
      <c r="E272" s="13">
        <v>1.96</v>
      </c>
      <c r="F272" s="13">
        <v>2.5760000000000001</v>
      </c>
      <c r="G272" s="9">
        <f t="shared" si="23"/>
        <v>2.0779528387333528</v>
      </c>
      <c r="H272" s="9">
        <f>G272*$D$266/SQRT(30)</f>
        <v>2.3838011030044108</v>
      </c>
      <c r="I272" s="16">
        <v>40.941641809972587</v>
      </c>
      <c r="J272" s="9">
        <f t="shared" si="24"/>
        <v>45.613891971861236</v>
      </c>
      <c r="K272" s="9">
        <f t="shared" si="25"/>
        <v>36.269391648083939</v>
      </c>
    </row>
    <row r="274" spans="3:11">
      <c r="C274" s="36" t="s">
        <v>21</v>
      </c>
      <c r="D274" s="36"/>
    </row>
    <row r="275" spans="3:11">
      <c r="C275" s="17" t="s">
        <v>5</v>
      </c>
      <c r="D275" s="9">
        <f>$H$12</f>
        <v>382.46666666666664</v>
      </c>
      <c r="E275" s="17" t="s">
        <v>60</v>
      </c>
      <c r="F275" s="13">
        <v>0.95</v>
      </c>
    </row>
    <row r="276" spans="3:11" ht="30">
      <c r="C276" s="12" t="s">
        <v>6</v>
      </c>
      <c r="D276" s="9">
        <f>$H$13</f>
        <v>199.43017675943341</v>
      </c>
      <c r="E276" s="17" t="s">
        <v>61</v>
      </c>
      <c r="F276" s="13">
        <f>(1+0.95)/2</f>
        <v>0.97499999999999998</v>
      </c>
    </row>
    <row r="277" spans="3:11">
      <c r="C277" s="17" t="s">
        <v>22</v>
      </c>
      <c r="D277" s="9">
        <v>6.4283150164703403E-3</v>
      </c>
      <c r="E277" s="17" t="s">
        <v>27</v>
      </c>
      <c r="F277" s="13">
        <v>1.96</v>
      </c>
    </row>
    <row r="278" spans="3:11">
      <c r="C278" s="17" t="s">
        <v>23</v>
      </c>
      <c r="D278" s="16">
        <v>292.72308712492162</v>
      </c>
    </row>
    <row r="280" spans="3:11" ht="45">
      <c r="C280" s="12" t="s">
        <v>48</v>
      </c>
      <c r="D280" s="12" t="s">
        <v>49</v>
      </c>
      <c r="E280" s="12" t="s">
        <v>59</v>
      </c>
      <c r="F280" s="18" t="s">
        <v>62</v>
      </c>
      <c r="G280" s="18" t="s">
        <v>63</v>
      </c>
      <c r="H280" s="18" t="s">
        <v>64</v>
      </c>
      <c r="I280" s="18" t="s">
        <v>29</v>
      </c>
      <c r="J280" s="18" t="s">
        <v>65</v>
      </c>
      <c r="K280" s="18" t="s">
        <v>66</v>
      </c>
    </row>
    <row r="281" spans="3:11">
      <c r="C281" s="13">
        <v>10</v>
      </c>
      <c r="D281" s="9">
        <f>1-1/C281</f>
        <v>0.9</v>
      </c>
      <c r="E281" s="13">
        <v>1.96</v>
      </c>
      <c r="F281" s="9">
        <f>-0.45-0.7797*LN(-LN(1-(1/C281)))</f>
        <v>1.3046114051055135</v>
      </c>
      <c r="G281" s="9">
        <f>SQRT(1+1.1*(F281^2)+1.1396*F281)</f>
        <v>2.0878091788817206</v>
      </c>
      <c r="H281" s="9">
        <f>G281*$D$276/SQRT(30)</f>
        <v>76.018806945051168</v>
      </c>
      <c r="I281" s="16">
        <f>$D$275+F281*$D$276</f>
        <v>642.64554978923206</v>
      </c>
      <c r="J281" s="9">
        <f>I281+H281*E281</f>
        <v>791.6424114015324</v>
      </c>
      <c r="K281" s="9">
        <f>I281-H281*E281</f>
        <v>493.64868817693178</v>
      </c>
    </row>
    <row r="282" spans="3:11">
      <c r="C282" s="13">
        <v>20</v>
      </c>
      <c r="D282" s="9">
        <f t="shared" ref="D282:D283" si="26">1-1/C282</f>
        <v>0.95</v>
      </c>
      <c r="E282" s="13">
        <v>1.96</v>
      </c>
      <c r="F282" s="9">
        <f t="shared" ref="F282:F283" si="27">-0.45-0.7797*LN(-LN(1-(1/C282)))</f>
        <v>1.8658612356781747</v>
      </c>
      <c r="G282" s="9">
        <f t="shared" ref="G282:G283" si="28">SQRT(1+1.1*(F282^2)+1.1396*F282)</f>
        <v>2.6374073310859631</v>
      </c>
      <c r="H282" s="9">
        <f t="shared" ref="H282:H283" si="29">G282*$D$276/SQRT(30)</f>
        <v>96.030116528501409</v>
      </c>
      <c r="I282" s="16">
        <f t="shared" ref="I282:I283" si="30">$D$275+F282*$D$276</f>
        <v>754.57570270653991</v>
      </c>
      <c r="J282" s="9">
        <f t="shared" ref="J282:J283" si="31">I282+H282*E282</f>
        <v>942.79473110240269</v>
      </c>
      <c r="K282" s="9">
        <f t="shared" ref="K282:K283" si="32">I282-H282*E282</f>
        <v>566.35667431067714</v>
      </c>
    </row>
    <row r="283" spans="3:11">
      <c r="C283" s="13">
        <v>1000</v>
      </c>
      <c r="D283" s="9">
        <f t="shared" si="26"/>
        <v>0.999</v>
      </c>
      <c r="E283" s="13">
        <v>1.96</v>
      </c>
      <c r="F283" s="9">
        <f t="shared" si="27"/>
        <v>4.9355867784873411</v>
      </c>
      <c r="G283" s="9">
        <f t="shared" si="28"/>
        <v>5.7810564108596214</v>
      </c>
      <c r="H283" s="9">
        <f t="shared" si="29"/>
        <v>210.49290120995533</v>
      </c>
      <c r="I283" s="16">
        <f t="shared" si="30"/>
        <v>1366.7716103119196</v>
      </c>
      <c r="J283" s="9">
        <f t="shared" si="31"/>
        <v>1779.3376966834321</v>
      </c>
      <c r="K283" s="9">
        <f t="shared" si="32"/>
        <v>954.20552394040715</v>
      </c>
    </row>
  </sheetData>
  <sortState ref="E123:E152">
    <sortCondition descending="1" ref="E119"/>
  </sortState>
  <mergeCells count="10">
    <mergeCell ref="B10:B11"/>
    <mergeCell ref="C10:D10"/>
    <mergeCell ref="J122:K122"/>
    <mergeCell ref="B191:C191"/>
    <mergeCell ref="B189:D189"/>
    <mergeCell ref="C264:D264"/>
    <mergeCell ref="C274:D274"/>
    <mergeCell ref="B210:C210"/>
    <mergeCell ref="C248:D248"/>
    <mergeCell ref="F248:G24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4" sqref="E4:F5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kalypsw</dc:creator>
  <cp:lastModifiedBy>kalypsw</cp:lastModifiedBy>
  <dcterms:created xsi:type="dcterms:W3CDTF">2016-11-26T09:37:45Z</dcterms:created>
  <dcterms:modified xsi:type="dcterms:W3CDTF">2017-01-26T14:22:43Z</dcterms:modified>
</cp:coreProperties>
</file>